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G:\Teknisk\Omfylling\Norconsult\"/>
    </mc:Choice>
  </mc:AlternateContent>
  <xr:revisionPtr revIDLastSave="0" documentId="8_{B0A51CB1-D3F8-42EC-AA98-38421E2B2036}" xr6:coauthVersionLast="47" xr6:coauthVersionMax="47" xr10:uidLastSave="{00000000-0000-0000-0000-000000000000}"/>
  <bookViews>
    <workbookView xWindow="-120" yWindow="-120" windowWidth="29040" windowHeight="17520" firstSheet="1" activeTab="2" xr2:uid="{4D42BFF3-5890-4643-AA15-C426C9A412B6}"/>
  </bookViews>
  <sheets>
    <sheet name="Introduksjon" sheetId="2" state="hidden" r:id="rId1"/>
    <sheet name="Bakgrunn" sheetId="9" r:id="rId2"/>
    <sheet name="Input og output" sheetId="8" r:id="rId3"/>
    <sheet name="Grøft" sheetId="13" r:id="rId4"/>
    <sheet name="Stedlige masser" sheetId="14" r:id="rId5"/>
    <sheet name="Kostnader" sheetId="16" r:id="rId6"/>
    <sheet name="Klimagassberegninger" sheetId="17" r:id="rId7"/>
  </sheets>
  <definedNames>
    <definedName name="_xlnm.Print_Area" localSheetId="2">'Input og output'!$A$1:$AU$80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13" i="9" l="1"/>
  <c r="AD13" i="9"/>
  <c r="H7" i="13" l="1"/>
  <c r="H37" i="17"/>
  <c r="H38" i="17" s="1"/>
  <c r="H33" i="17"/>
  <c r="H34" i="17" s="1"/>
  <c r="H30" i="17"/>
  <c r="H15" i="13"/>
  <c r="H11" i="17"/>
  <c r="H27" i="17" s="1"/>
  <c r="S8" i="8"/>
  <c r="S6" i="8"/>
  <c r="AA24" i="13"/>
  <c r="S23" i="8"/>
  <c r="S22" i="8"/>
  <c r="S21" i="8"/>
  <c r="S20" i="8"/>
  <c r="S19" i="8"/>
  <c r="S18" i="8"/>
  <c r="AA35" i="13"/>
  <c r="H61" i="17"/>
  <c r="R60" i="17" s="1"/>
  <c r="AP44" i="8" s="1"/>
  <c r="F37" i="16"/>
  <c r="M22" i="16"/>
  <c r="F36" i="16" s="1"/>
  <c r="AA43" i="8" s="1"/>
  <c r="E37" i="16"/>
  <c r="D37" i="16"/>
  <c r="M9" i="16"/>
  <c r="D34" i="16" s="1"/>
  <c r="K55" i="8"/>
  <c r="J55" i="8"/>
  <c r="G53" i="8"/>
  <c r="F53" i="8"/>
  <c r="Z23" i="13"/>
  <c r="AC23" i="13" s="1"/>
  <c r="E11" i="14"/>
  <c r="G11" i="14"/>
  <c r="H11" i="14"/>
  <c r="I11" i="14"/>
  <c r="M5" i="16"/>
  <c r="M26" i="16" s="1"/>
  <c r="AH27" i="8" s="1"/>
  <c r="H15" i="17"/>
  <c r="H13" i="17"/>
  <c r="H9" i="17"/>
  <c r="H20" i="13"/>
  <c r="H8" i="13"/>
  <c r="K14" i="13" s="1"/>
  <c r="H9" i="13" l="1"/>
  <c r="H16" i="13" s="1"/>
  <c r="R34" i="17"/>
  <c r="AK41" i="8" s="1"/>
  <c r="H13" i="13"/>
  <c r="H25" i="13"/>
  <c r="H29" i="17"/>
  <c r="R29" i="17" s="1"/>
  <c r="AQ27" i="8" s="1"/>
  <c r="AE23" i="13"/>
  <c r="AF23" i="13" s="1"/>
  <c r="AD23" i="13"/>
  <c r="AB24" i="13"/>
  <c r="T41" i="8"/>
  <c r="E38" i="16"/>
  <c r="Y44" i="8" s="1"/>
  <c r="F38" i="16"/>
  <c r="AA44" i="8" s="1"/>
  <c r="D38" i="16"/>
  <c r="AA34" i="13"/>
  <c r="AA36" i="13" s="1"/>
  <c r="AA38" i="13" s="1"/>
  <c r="H14" i="13" l="1"/>
  <c r="H27" i="13" s="1"/>
  <c r="H50" i="13" s="1"/>
  <c r="R59" i="17"/>
  <c r="AP45" i="8" s="1"/>
  <c r="T44" i="8"/>
  <c r="AA37" i="13"/>
  <c r="H40" i="13"/>
  <c r="H48" i="13"/>
  <c r="F26" i="14" s="1"/>
  <c r="H17" i="13" l="1"/>
  <c r="R37" i="17"/>
  <c r="AK45" i="8" s="1"/>
  <c r="R48" i="17"/>
  <c r="AN45" i="8" s="1"/>
  <c r="AA39" i="13"/>
  <c r="AA40" i="13" s="1"/>
  <c r="AA41" i="13" s="1"/>
  <c r="H42" i="13"/>
  <c r="E44" i="8"/>
  <c r="H52" i="8"/>
  <c r="F52" i="8"/>
  <c r="J52" i="8"/>
  <c r="F82" i="13"/>
  <c r="F89" i="13"/>
  <c r="F25" i="14"/>
  <c r="H35" i="17" l="1"/>
  <c r="H36" i="17" s="1"/>
  <c r="H18" i="13"/>
  <c r="H24" i="13" s="1"/>
  <c r="H26" i="13" s="1"/>
  <c r="F54" i="8"/>
  <c r="R35" i="17"/>
  <c r="M8" i="16"/>
  <c r="D35" i="16" s="1"/>
  <c r="J77" i="13"/>
  <c r="J71" i="13"/>
  <c r="F77" i="13"/>
  <c r="F71" i="13"/>
  <c r="E43" i="8" s="1"/>
  <c r="H89" i="13"/>
  <c r="H85" i="13"/>
  <c r="H92" i="13"/>
  <c r="H48" i="17" s="1"/>
  <c r="H49" i="17" s="1"/>
  <c r="H82" i="13"/>
  <c r="H71" i="13"/>
  <c r="H77" i="13"/>
  <c r="H34" i="13" l="1"/>
  <c r="H35" i="13" s="1"/>
  <c r="H36" i="13" s="1"/>
  <c r="H41" i="13" s="1"/>
  <c r="H23" i="13"/>
  <c r="H28" i="13" s="1"/>
  <c r="H51" i="13"/>
  <c r="AK42" i="8"/>
  <c r="H53" i="8"/>
  <c r="M15" i="16"/>
  <c r="E34" i="16" s="1"/>
  <c r="T42" i="8"/>
  <c r="H46" i="17"/>
  <c r="H47" i="17" s="1"/>
  <c r="M14" i="16"/>
  <c r="E35" i="16" s="1"/>
  <c r="Y42" i="8" s="1"/>
  <c r="H44" i="17"/>
  <c r="H45" i="17" s="1"/>
  <c r="H54" i="8"/>
  <c r="R36" i="17"/>
  <c r="AK43" i="8" s="1"/>
  <c r="R46" i="17" l="1"/>
  <c r="AN42" i="8" s="1"/>
  <c r="R47" i="17"/>
  <c r="AN43" i="8" s="1"/>
  <c r="H53" i="13"/>
  <c r="F69" i="13" s="1"/>
  <c r="J25" i="13"/>
  <c r="H52" i="13"/>
  <c r="F91" i="13" s="1"/>
  <c r="H39" i="13"/>
  <c r="Y41" i="8"/>
  <c r="J26" i="13"/>
  <c r="J24" i="13"/>
  <c r="J27" i="13"/>
  <c r="J42" i="13" s="1"/>
  <c r="H46" i="13"/>
  <c r="J23" i="13"/>
  <c r="R45" i="17"/>
  <c r="H84" i="13"/>
  <c r="F84" i="13"/>
  <c r="F70" i="13"/>
  <c r="J70" i="13"/>
  <c r="F72" i="13"/>
  <c r="J85" i="13"/>
  <c r="J82" i="13"/>
  <c r="H70" i="13"/>
  <c r="J72" i="13"/>
  <c r="H90" i="13" l="1"/>
  <c r="H83" i="13"/>
  <c r="J69" i="13"/>
  <c r="H47" i="13"/>
  <c r="J83" i="13"/>
  <c r="H69" i="13"/>
  <c r="J28" i="13"/>
  <c r="H57" i="13"/>
  <c r="H75" i="13" s="1"/>
  <c r="F76" i="13"/>
  <c r="E42" i="8" s="1"/>
  <c r="H78" i="13"/>
  <c r="J76" i="13"/>
  <c r="J90" i="13"/>
  <c r="J89" i="13"/>
  <c r="J54" i="8" s="1"/>
  <c r="J92" i="13"/>
  <c r="H55" i="17" s="1"/>
  <c r="H56" i="17" s="1"/>
  <c r="H43" i="13"/>
  <c r="J41" i="13" s="1"/>
  <c r="H91" i="13"/>
  <c r="H55" i="8" s="1"/>
  <c r="H58" i="13"/>
  <c r="J78" i="13" s="1"/>
  <c r="AN41" i="8"/>
  <c r="J48" i="13"/>
  <c r="I26" i="14" s="1"/>
  <c r="H49" i="13"/>
  <c r="J49" i="13" s="1"/>
  <c r="G83" i="13" s="1"/>
  <c r="J53" i="13"/>
  <c r="K83" i="13" s="1"/>
  <c r="J51" i="13"/>
  <c r="G70" i="13" s="1"/>
  <c r="J81" i="13"/>
  <c r="F81" i="13"/>
  <c r="J50" i="13"/>
  <c r="I25" i="14" s="1"/>
  <c r="H88" i="13"/>
  <c r="J88" i="13"/>
  <c r="F88" i="13"/>
  <c r="J46" i="13"/>
  <c r="I88" i="13" s="1"/>
  <c r="H81" i="13"/>
  <c r="H51" i="8"/>
  <c r="J52" i="13"/>
  <c r="J51" i="8"/>
  <c r="F51" i="8"/>
  <c r="F55" i="8"/>
  <c r="H57" i="17" l="1"/>
  <c r="H58" i="17" s="1"/>
  <c r="R57" i="17" s="1"/>
  <c r="AP42" i="8" s="1"/>
  <c r="H56" i="8"/>
  <c r="J56" i="8"/>
  <c r="Z21" i="8" s="1"/>
  <c r="J57" i="13"/>
  <c r="I75" i="13" s="1"/>
  <c r="F75" i="13"/>
  <c r="F23" i="14" s="1"/>
  <c r="J75" i="13"/>
  <c r="J39" i="13"/>
  <c r="J40" i="13"/>
  <c r="J36" i="13"/>
  <c r="H59" i="17"/>
  <c r="H60" i="17" s="1"/>
  <c r="M20" i="16"/>
  <c r="F35" i="16" s="1"/>
  <c r="AA42" i="8" s="1"/>
  <c r="H76" i="13"/>
  <c r="F24" i="14"/>
  <c r="F32" i="14" s="1"/>
  <c r="F41" i="14" s="1"/>
  <c r="J53" i="8"/>
  <c r="M21" i="16"/>
  <c r="F34" i="16" s="1"/>
  <c r="AA41" i="8" s="1"/>
  <c r="J58" i="13"/>
  <c r="G78" i="13" s="1"/>
  <c r="F78" i="13"/>
  <c r="R56" i="17"/>
  <c r="I90" i="13"/>
  <c r="G44" i="8"/>
  <c r="F90" i="13"/>
  <c r="I70" i="13"/>
  <c r="I84" i="13"/>
  <c r="K89" i="13"/>
  <c r="I52" i="8"/>
  <c r="K52" i="8"/>
  <c r="G89" i="13"/>
  <c r="G52" i="8"/>
  <c r="G82" i="13"/>
  <c r="K70" i="13"/>
  <c r="G76" i="13"/>
  <c r="I24" i="14" s="1"/>
  <c r="I83" i="13"/>
  <c r="G84" i="13"/>
  <c r="I78" i="13"/>
  <c r="G88" i="13"/>
  <c r="I81" i="13"/>
  <c r="G72" i="13"/>
  <c r="I85" i="13"/>
  <c r="I69" i="13"/>
  <c r="G81" i="13"/>
  <c r="K76" i="13"/>
  <c r="I91" i="13"/>
  <c r="G51" i="8"/>
  <c r="I77" i="13"/>
  <c r="K77" i="13"/>
  <c r="K88" i="13"/>
  <c r="I82" i="13"/>
  <c r="I92" i="13"/>
  <c r="K69" i="13"/>
  <c r="I71" i="13"/>
  <c r="K82" i="13"/>
  <c r="K92" i="13"/>
  <c r="G91" i="13"/>
  <c r="G77" i="13"/>
  <c r="K71" i="13"/>
  <c r="G69" i="13"/>
  <c r="K90" i="13"/>
  <c r="K56" i="8" s="1"/>
  <c r="Z13" i="8" s="1"/>
  <c r="I89" i="13"/>
  <c r="K72" i="13"/>
  <c r="K85" i="13"/>
  <c r="G71" i="13"/>
  <c r="G43" i="8" s="1"/>
  <c r="K51" i="8"/>
  <c r="F83" i="13"/>
  <c r="I51" i="8"/>
  <c r="K81" i="13"/>
  <c r="R58" i="17" l="1"/>
  <c r="G75" i="13"/>
  <c r="I23" i="14" s="1"/>
  <c r="I27" i="14" s="1"/>
  <c r="K75" i="13"/>
  <c r="E41" i="8"/>
  <c r="K78" i="13"/>
  <c r="F39" i="16"/>
  <c r="AA45" i="8" s="1"/>
  <c r="J43" i="13"/>
  <c r="K53" i="8"/>
  <c r="AA29" i="8" s="1"/>
  <c r="I76" i="13"/>
  <c r="F27" i="14"/>
  <c r="J59" i="13"/>
  <c r="F42" i="16"/>
  <c r="AK28" i="8" s="1"/>
  <c r="F36" i="14"/>
  <c r="F38" i="14"/>
  <c r="F35" i="14"/>
  <c r="F37" i="14"/>
  <c r="J32" i="14"/>
  <c r="J42" i="14" s="1"/>
  <c r="F42" i="14"/>
  <c r="F44" i="14"/>
  <c r="F43" i="14"/>
  <c r="AP41" i="8"/>
  <c r="I56" i="8"/>
  <c r="Z12" i="8" s="1"/>
  <c r="G54" i="8"/>
  <c r="I55" i="8"/>
  <c r="F56" i="8"/>
  <c r="Z25" i="8" s="1"/>
  <c r="Z27" i="8" s="1"/>
  <c r="K54" i="8"/>
  <c r="G42" i="8"/>
  <c r="I54" i="8"/>
  <c r="G55" i="8"/>
  <c r="I53" i="8"/>
  <c r="G90" i="13"/>
  <c r="G56" i="8" s="1"/>
  <c r="Z11" i="8" s="1"/>
  <c r="AP43" i="8" l="1"/>
  <c r="R62" i="17"/>
  <c r="AS29" i="8" s="1"/>
  <c r="R61" i="17"/>
  <c r="AP46" i="8" s="1"/>
  <c r="AO9" i="8" s="1"/>
  <c r="G41" i="8"/>
  <c r="G45" i="8" s="1"/>
  <c r="H39" i="17"/>
  <c r="R38" i="17" s="1"/>
  <c r="F41" i="16"/>
  <c r="AA46" i="8" s="1"/>
  <c r="AJ9" i="8" s="1"/>
  <c r="M10" i="16"/>
  <c r="D36" i="16" s="1"/>
  <c r="D42" i="16" s="1"/>
  <c r="AF28" i="8" s="1"/>
  <c r="J35" i="14"/>
  <c r="J41" i="14"/>
  <c r="J44" i="14"/>
  <c r="J43" i="14"/>
  <c r="J38" i="14"/>
  <c r="J37" i="14"/>
  <c r="J36" i="14"/>
  <c r="Z22" i="8"/>
  <c r="Z17" i="8"/>
  <c r="Z18" i="8" s="1"/>
  <c r="M16" i="16" l="1"/>
  <c r="E36" i="16" s="1"/>
  <c r="Y43" i="8" s="1"/>
  <c r="R39" i="17"/>
  <c r="AK46" i="8" s="1"/>
  <c r="R40" i="17"/>
  <c r="AO29" i="8" s="1"/>
  <c r="AK44" i="8"/>
  <c r="H50" i="17"/>
  <c r="R49" i="17" s="1"/>
  <c r="D39" i="16"/>
  <c r="D41" i="16" s="1"/>
  <c r="T46" i="8" s="1"/>
  <c r="T43" i="8"/>
  <c r="AA47" i="8"/>
  <c r="AF9" i="8" s="1"/>
  <c r="E42" i="16" l="1"/>
  <c r="AI28" i="8" s="1"/>
  <c r="E39" i="16"/>
  <c r="E41" i="16" s="1"/>
  <c r="Y46" i="8" s="1"/>
  <c r="AJ8" i="8" s="1"/>
  <c r="AO7" i="8"/>
  <c r="AO13" i="8"/>
  <c r="AP14" i="8" s="1"/>
  <c r="R51" i="17"/>
  <c r="AQ29" i="8" s="1"/>
  <c r="R50" i="17"/>
  <c r="AN46" i="8" s="1"/>
  <c r="AO23" i="8" s="1"/>
  <c r="AP24" i="8" s="1"/>
  <c r="AN44" i="8"/>
  <c r="T45" i="8"/>
  <c r="AJ7" i="8"/>
  <c r="T47" i="8"/>
  <c r="AF13" i="8"/>
  <c r="AH15" i="8" s="1"/>
  <c r="Y45" i="8" l="1"/>
  <c r="AO18" i="8"/>
  <c r="AP19" i="8" s="1"/>
  <c r="AO8" i="8"/>
  <c r="Y47" i="8"/>
  <c r="AF19" i="8" s="1"/>
  <c r="AF18" i="8"/>
  <c r="AH20" i="8" s="1"/>
  <c r="AF23" i="8"/>
  <c r="AH24" i="8" s="1"/>
  <c r="AF14" i="8"/>
  <c r="AF7" i="8"/>
  <c r="AF8" i="8" l="1"/>
</calcChain>
</file>

<file path=xl/sharedStrings.xml><?xml version="1.0" encoding="utf-8"?>
<sst xmlns="http://schemas.openxmlformats.org/spreadsheetml/2006/main" count="975" uniqueCount="557">
  <si>
    <t>Informasjon om prosjektet</t>
  </si>
  <si>
    <t xml:space="preserve">Introduksjonsfanen gir ei kort innføring til verktøyet og metodikken, i tillegg til beskrivelse av hver av de andre fanene. </t>
  </si>
  <si>
    <t>OUTPUT</t>
  </si>
  <si>
    <t xml:space="preserve">I denne fanen legges informasjon om aktuelt oppdrag inn. </t>
  </si>
  <si>
    <t xml:space="preserve">Denne fanen er kun for input. Verdier som skrives inn her påvirker </t>
  </si>
  <si>
    <t xml:space="preserve">kalkuleringer i output-fanen. </t>
  </si>
  <si>
    <t>INPUT</t>
  </si>
  <si>
    <t xml:space="preserve">Forklaring om INPUT-fanen: </t>
  </si>
  <si>
    <t xml:space="preserve">dokumentet. </t>
  </si>
  <si>
    <t xml:space="preserve">Om rørene: </t>
  </si>
  <si>
    <t xml:space="preserve">Om grøfta: </t>
  </si>
  <si>
    <t>m</t>
  </si>
  <si>
    <t xml:space="preserve">Der det står velg, velg én verdi. Der det står angi, skriv egen verdi. </t>
  </si>
  <si>
    <t>Gjenbruk av masser:</t>
  </si>
  <si>
    <t xml:space="preserve">Hvite felt kan og skal fylles ut. Dette er gjennomgående i hele </t>
  </si>
  <si>
    <t>Transport av masser:</t>
  </si>
  <si>
    <t>km</t>
  </si>
  <si>
    <t>tonn</t>
  </si>
  <si>
    <t>INTRODUKSJON</t>
  </si>
  <si>
    <t>BAKGRUNN</t>
  </si>
  <si>
    <t>PRISER, MENGDER, UTSLIPP</t>
  </si>
  <si>
    <t>EKSEMPEL</t>
  </si>
  <si>
    <t>Faktorer for beregning</t>
  </si>
  <si>
    <t>Resultater</t>
  </si>
  <si>
    <t xml:space="preserve">Opplysninger </t>
  </si>
  <si>
    <t>I fanen bakgrunn fører man inn informasjon om prosjektet</t>
  </si>
  <si>
    <t xml:space="preserve"> og beregningene man vil foretå. </t>
  </si>
  <si>
    <t xml:space="preserve">Eksempel: Overføringsledning fra A-bakken til Å-skrenten. </t>
  </si>
  <si>
    <t xml:space="preserve">Mulig Bakgrunn og Input kan være samme fane, ettersom </t>
  </si>
  <si>
    <t xml:space="preserve">mye av informasjon om prosjektet og beregningene også </t>
  </si>
  <si>
    <t xml:space="preserve">vil være input. </t>
  </si>
  <si>
    <t xml:space="preserve">I fanen Input gjøres alle valg (type rør og anna) og alle </t>
  </si>
  <si>
    <t>verdier føres inn (lengde på rør, prosent gjenbrukte masser,</t>
  </si>
  <si>
    <t xml:space="preserve"> avstand fra deponi). </t>
  </si>
  <si>
    <t>Fanene Priser, Mengder og Utslipp er faste verdier,</t>
  </si>
  <si>
    <t xml:space="preserve"> datalister, som gir utgangspunktet for beregningene. </t>
  </si>
  <si>
    <t xml:space="preserve">De samme verdiene som oppgis i "Priser, Mengder, Utslipp" </t>
  </si>
  <si>
    <t xml:space="preserve">bør finnes igjen i fase 2 - eksempeloppdraget. </t>
  </si>
  <si>
    <t xml:space="preserve">Modellen bør på et vis kunne vise hva differansen er </t>
  </si>
  <si>
    <t xml:space="preserve">mellom tenkte beregninger og faktiske eksempler. </t>
  </si>
  <si>
    <t xml:space="preserve">I VegLCA er det slik at HVITE felt kan fylles inn - </t>
  </si>
  <si>
    <t xml:space="preserve">det er gjennomgående i hele verktøyet. </t>
  </si>
  <si>
    <t xml:space="preserve">Denne fanen er ikke avhengig av de andre fanene </t>
  </si>
  <si>
    <t xml:space="preserve">og er kun ment for å gi oversikt </t>
  </si>
  <si>
    <t xml:space="preserve">Output i dokumentet må vise kostnad-, </t>
  </si>
  <si>
    <t xml:space="preserve">masse- og utslipssbesparelser. </t>
  </si>
  <si>
    <t xml:space="preserve">Prosent gjenbruk av stedlige eller allerede eksisterende </t>
  </si>
  <si>
    <t xml:space="preserve">masser (utgravde masser): Kunde kan få velge hvor stor </t>
  </si>
  <si>
    <t xml:space="preserve">prosentandel av massene de kan gjenbruke, men resultatene </t>
  </si>
  <si>
    <t xml:space="preserve">bør også belyse muligheter i form av høyere og lavere </t>
  </si>
  <si>
    <t xml:space="preserve">prosentandel. </t>
  </si>
  <si>
    <t xml:space="preserve">Eksempel: Om kunde skal gjenbruke 50% masser, bør output </t>
  </si>
  <si>
    <t>også belyse hva besparelsene er for 40% og 60% (range).</t>
  </si>
  <si>
    <t>Kan output være en tabell med forhåndsvalgte prosenter,</t>
  </si>
  <si>
    <t xml:space="preserve"> og så vises i tillegg den prosenten kunden valgte? </t>
  </si>
  <si>
    <t xml:space="preserve">Finn ut hvordan man lager macro for å generere en pdf </t>
  </si>
  <si>
    <t>av resultatdelen. Ser fancy ut og er praktisk for PAM.</t>
  </si>
  <si>
    <t>OUTPUT - MASSE-, KOSTNADS- OG UTSLIPPSBESPARELSER</t>
  </si>
  <si>
    <t>Grøftesnitt</t>
  </si>
  <si>
    <t>Diameter, rør</t>
  </si>
  <si>
    <t>mm</t>
  </si>
  <si>
    <t>Fundament</t>
  </si>
  <si>
    <t>Sidefylling</t>
  </si>
  <si>
    <t>Beskyttelseslag</t>
  </si>
  <si>
    <t>Gjenfylling</t>
  </si>
  <si>
    <t>b</t>
  </si>
  <si>
    <t>d</t>
  </si>
  <si>
    <t>f</t>
  </si>
  <si>
    <t>Fundament, bredde</t>
  </si>
  <si>
    <t>F</t>
  </si>
  <si>
    <t xml:space="preserve">Sidefylling </t>
  </si>
  <si>
    <t>x</t>
  </si>
  <si>
    <t>Formel</t>
  </si>
  <si>
    <t>Parameter</t>
  </si>
  <si>
    <t>Grøftebredde</t>
  </si>
  <si>
    <t>B</t>
  </si>
  <si>
    <t>Grøftedybde</t>
  </si>
  <si>
    <t>D</t>
  </si>
  <si>
    <t>G</t>
  </si>
  <si>
    <t>Variabel</t>
  </si>
  <si>
    <t>Areal, fundament</t>
  </si>
  <si>
    <t>Af</t>
  </si>
  <si>
    <t>Ao</t>
  </si>
  <si>
    <t>Ag</t>
  </si>
  <si>
    <t>Areal, gjenfylling</t>
  </si>
  <si>
    <t>A</t>
  </si>
  <si>
    <t>Bredde, omfylling</t>
  </si>
  <si>
    <t>Prosent</t>
  </si>
  <si>
    <t>Aomf</t>
  </si>
  <si>
    <t>Ar</t>
  </si>
  <si>
    <t>Aomf=Ao-Ar</t>
  </si>
  <si>
    <t>Areal</t>
  </si>
  <si>
    <t>Totalt areal, grøft</t>
  </si>
  <si>
    <t xml:space="preserve">  Areal, rør</t>
  </si>
  <si>
    <t>o</t>
  </si>
  <si>
    <t>Overdekning, Frostfri sone (Østlandet)</t>
  </si>
  <si>
    <t>U</t>
  </si>
  <si>
    <t>G=o-b</t>
  </si>
  <si>
    <t>D=o+d+f</t>
  </si>
  <si>
    <t>Grøftelengde</t>
  </si>
  <si>
    <t>L</t>
  </si>
  <si>
    <t>V</t>
  </si>
  <si>
    <t>V=A*L</t>
  </si>
  <si>
    <t xml:space="preserve">  Areal, omfylling</t>
  </si>
  <si>
    <t>1:2</t>
  </si>
  <si>
    <t>h</t>
  </si>
  <si>
    <t>β</t>
  </si>
  <si>
    <t>y</t>
  </si>
  <si>
    <t>k</t>
  </si>
  <si>
    <t>Omgjøringsfaktor</t>
  </si>
  <si>
    <t>Fra mm^2 til m^2</t>
  </si>
  <si>
    <t>Faktor, grøftesnitt</t>
  </si>
  <si>
    <t>i</t>
  </si>
  <si>
    <t>n</t>
  </si>
  <si>
    <t>U=B-nG</t>
  </si>
  <si>
    <t>Ar=(π(0,5d)^2)/i</t>
  </si>
  <si>
    <t>Totalt volum, grøft</t>
  </si>
  <si>
    <t>Volum, masser tilbake i grøft</t>
  </si>
  <si>
    <t>T</t>
  </si>
  <si>
    <t>R</t>
  </si>
  <si>
    <t>R=Ar*L</t>
  </si>
  <si>
    <t>T=V-R</t>
  </si>
  <si>
    <t xml:space="preserve">  Volum, rør</t>
  </si>
  <si>
    <t>For rør &gt;500 mm</t>
  </si>
  <si>
    <t>Redusering av omfyllingsmasser</t>
  </si>
  <si>
    <t>Grøftesnitt illustrasjon</t>
  </si>
  <si>
    <t>Vinkler</t>
  </si>
  <si>
    <t>a</t>
  </si>
  <si>
    <t>δ</t>
  </si>
  <si>
    <t>γ</t>
  </si>
  <si>
    <t>Reduksjon av omfyllingsmasser</t>
  </si>
  <si>
    <t>Kun for rør &gt;500 mm</t>
  </si>
  <si>
    <t>Høyde, hjelpetrekant</t>
  </si>
  <si>
    <t>Bunnlinje, hjelpet.</t>
  </si>
  <si>
    <t>Topplinje, redusert areal</t>
  </si>
  <si>
    <t>k=(U-a)/2</t>
  </si>
  <si>
    <t>Indre sidelinje, redusert areal</t>
  </si>
  <si>
    <t>sinδ</t>
  </si>
  <si>
    <t>sinγ</t>
  </si>
  <si>
    <t>Are</t>
  </si>
  <si>
    <t>Volum</t>
  </si>
  <si>
    <t>Volum, fundament</t>
  </si>
  <si>
    <t>sinβ</t>
  </si>
  <si>
    <t>Vf</t>
  </si>
  <si>
    <t>Aore</t>
  </si>
  <si>
    <t>Aore=Aomf-Are</t>
  </si>
  <si>
    <t>Areal, gjenfylling+redusert areal</t>
  </si>
  <si>
    <t>Agre</t>
  </si>
  <si>
    <t>Agre=Ag+Are</t>
  </si>
  <si>
    <t xml:space="preserve">Totalt areal, grøft </t>
  </si>
  <si>
    <t>Vf=Af*L</t>
  </si>
  <si>
    <t>Volum, omfylling rundt rør</t>
  </si>
  <si>
    <t>Areal, omfylling rundt rør</t>
  </si>
  <si>
    <t>Vomf</t>
  </si>
  <si>
    <t>Vomf=Aomf*L</t>
  </si>
  <si>
    <t>Volum, redusert areal</t>
  </si>
  <si>
    <t>Vre</t>
  </si>
  <si>
    <t>Vre=Are*L</t>
  </si>
  <si>
    <t>Angi grøftelengde:</t>
  </si>
  <si>
    <t>Angi graveskråning</t>
  </si>
  <si>
    <t>*Nedtrekksmeny</t>
  </si>
  <si>
    <t>1:</t>
  </si>
  <si>
    <t>Rørdiameter [mm]</t>
  </si>
  <si>
    <t>*Hentet fra VA/Miljøblad nr. 6 - Grøfteutførelse stive rør</t>
  </si>
  <si>
    <t>Volum, gjenfylling</t>
  </si>
  <si>
    <t>Vg</t>
  </si>
  <si>
    <t>Vg=Ag*L</t>
  </si>
  <si>
    <t xml:space="preserve">Grøftesnitt </t>
  </si>
  <si>
    <t>Stedlige masser</t>
  </si>
  <si>
    <t>Leire</t>
  </si>
  <si>
    <t>Silt</t>
  </si>
  <si>
    <t>Sand</t>
  </si>
  <si>
    <t>Grus</t>
  </si>
  <si>
    <t>Fiberduk</t>
  </si>
  <si>
    <t>Tettheter/egenvekter</t>
  </si>
  <si>
    <t>Jord og leire</t>
  </si>
  <si>
    <t>Grus/pukk</t>
  </si>
  <si>
    <t>Diesel/el-forbruk maskineri</t>
  </si>
  <si>
    <t>Gravemaskin</t>
  </si>
  <si>
    <t>Beregningsfaktorer</t>
  </si>
  <si>
    <t>Utslippsfaktorer</t>
  </si>
  <si>
    <t>kg</t>
  </si>
  <si>
    <t>Anleggsdiesel: Innblanding biodiesel basert på omsetningskrav, B0</t>
  </si>
  <si>
    <t>l</t>
  </si>
  <si>
    <t>tkm</t>
  </si>
  <si>
    <t>Massetransport (diesel for veitransport)</t>
  </si>
  <si>
    <t>Scenario 1</t>
  </si>
  <si>
    <t>Scenario 2</t>
  </si>
  <si>
    <t>Scenario 3</t>
  </si>
  <si>
    <t>Arbeidsoperasjon</t>
  </si>
  <si>
    <t>Løsning med kun stedlige masser</t>
  </si>
  <si>
    <t>Løsning med kun tilkjørte masser</t>
  </si>
  <si>
    <t>Ikke aktuelt</t>
  </si>
  <si>
    <t>Aktuelt</t>
  </si>
  <si>
    <t>Bortkjøring av overskuddsmasser</t>
  </si>
  <si>
    <t>Mindre behov</t>
  </si>
  <si>
    <t>Større behov</t>
  </si>
  <si>
    <t>Tilrigging, sorteringsskuff</t>
  </si>
  <si>
    <t>Sortering av masser</t>
  </si>
  <si>
    <t>Tilrigging, knuseskuff</t>
  </si>
  <si>
    <t>Knusing av masser</t>
  </si>
  <si>
    <t>Beskyttelse av rør (fiberduk). Levering og montering</t>
  </si>
  <si>
    <t>Kanskje større behov</t>
  </si>
  <si>
    <t>Kanskje mindre behov</t>
  </si>
  <si>
    <t>Enhet</t>
  </si>
  <si>
    <t>Enhetspris</t>
  </si>
  <si>
    <t>RS</t>
  </si>
  <si>
    <t xml:space="preserve">Masse 2: </t>
  </si>
  <si>
    <t>Marine strandavsetninger</t>
  </si>
  <si>
    <t>Stein &lt; 32 mm</t>
  </si>
  <si>
    <t>Stor stein 32-56 mm</t>
  </si>
  <si>
    <t>Blokk &gt; 56 mm</t>
  </si>
  <si>
    <t xml:space="preserve">Masse 1: Elveavsetninger (gult i NGUs løsmassekart): sand og grus dominerer, og materialet er rundet og sortert. </t>
  </si>
  <si>
    <t xml:space="preserve">Masse 2: Marine strandavsetninger (mørkeblått): kornstørrelse varierer fra sand til blokk, men sand og grus er vanligst. </t>
  </si>
  <si>
    <t xml:space="preserve">Masse 3 og 4: Morene (grønt): kan inneholde alt fra leir til stein og blokk. Masse 3 og 4 er beskrevet som sandig og grusig morene, da morene med høyt finstoffinnhold (leirig/siltig morene) er utfordrende å håndtere i felt/sortere. </t>
  </si>
  <si>
    <t>Informasjon om analysen</t>
  </si>
  <si>
    <t>Prosjektinformasjon og forutsetninger for beregninger</t>
  </si>
  <si>
    <t>Tips til innfylling av data</t>
  </si>
  <si>
    <t>Input</t>
  </si>
  <si>
    <t>Masser ut av anlegg (kun transport)</t>
  </si>
  <si>
    <t>Masser inn til anlegg (kun transport)</t>
  </si>
  <si>
    <t>Data hentet fra:</t>
  </si>
  <si>
    <t>Transportavstand: masser ut av anlegg</t>
  </si>
  <si>
    <t xml:space="preserve">Transportavstand: masser inn til anlegg </t>
  </si>
  <si>
    <t>Omgjøringsfaktor, m til km</t>
  </si>
  <si>
    <t>KLIMAGASSBEREGNINGER</t>
  </si>
  <si>
    <t>Transportavstander for masser: 10 000 m er default, men den kan endres</t>
  </si>
  <si>
    <t>Utslippsfaktorer brukt i analysen: Norske gjennomsnittsdata er standard</t>
  </si>
  <si>
    <t>Lengde grøft</t>
  </si>
  <si>
    <t>Angi transportavstand: masser ut av anlegg</t>
  </si>
  <si>
    <t xml:space="preserve">Angi transportavstand: masser inn til anlegg </t>
  </si>
  <si>
    <t>Pukk</t>
  </si>
  <si>
    <t xml:space="preserve">Masse 1: </t>
  </si>
  <si>
    <t>Elveavsetninger</t>
  </si>
  <si>
    <t xml:space="preserve">Masse 3: </t>
  </si>
  <si>
    <t>Sandig morene</t>
  </si>
  <si>
    <t xml:space="preserve">Masse 4: </t>
  </si>
  <si>
    <t>Grusig morene</t>
  </si>
  <si>
    <t>Aktuelt, men redusert omfang ift Scenario 3</t>
  </si>
  <si>
    <t>Kommentar</t>
  </si>
  <si>
    <t>Innkjøp og tilkjøring av pukk</t>
  </si>
  <si>
    <t>Opplasting og bortkjøring av overskuddsmasser</t>
  </si>
  <si>
    <t>KOSTNADSBEREGNING</t>
  </si>
  <si>
    <t>m=sinδ*(k/sinγ)</t>
  </si>
  <si>
    <r>
      <t>a=2*(h/tanβ</t>
    </r>
    <r>
      <rPr>
        <sz val="8.8000000000000007"/>
        <color theme="1"/>
        <rFont val="Calibri"/>
        <family val="2"/>
        <scheme val="minor"/>
      </rPr>
      <t>)</t>
    </r>
  </si>
  <si>
    <t>På denne måten kan NGUs løsmassekart benyttes for å se hvilke masser man kan forvente på stedet, men merk at løsmassekartet til NGU gir kun en indikasjon på hva et øvre lag i jordprofilet består av.</t>
  </si>
  <si>
    <t xml:space="preserve">Velg type stedlig masse*: </t>
  </si>
  <si>
    <t xml:space="preserve">*Informasjon om de ulike typene stedlige masser finnes i eget ark, se "Stedlige masser". </t>
  </si>
  <si>
    <t>STEDLIGE MASSER - INNDELING</t>
  </si>
  <si>
    <t>For å få kjennskap til grunnens egenskaper i dybden er det nødvendig med geotekniske grunnundersøkelser.</t>
  </si>
  <si>
    <t>Input - Scenario 1</t>
  </si>
  <si>
    <t>Input - Scenario 2</t>
  </si>
  <si>
    <t>Input - Scenario 3</t>
  </si>
  <si>
    <t>Masser inn til anlegg (pukk)</t>
  </si>
  <si>
    <t>Utgangspunkt: 10-15 km</t>
  </si>
  <si>
    <t>SUM</t>
  </si>
  <si>
    <t>Egnet i rørsone</t>
  </si>
  <si>
    <t>*Egnet i rørsone</t>
  </si>
  <si>
    <t>Stedlige masser i gjenfylling</t>
  </si>
  <si>
    <t>Grus/pukk (produksjon)</t>
  </si>
  <si>
    <t>Fiberduk (produksjon)</t>
  </si>
  <si>
    <t>*Må sorteres ut (ved komprimering)</t>
  </si>
  <si>
    <t xml:space="preserve">*Må sorteres ut </t>
  </si>
  <si>
    <t xml:space="preserve">Løsning med tilkjørte masser i fundament </t>
  </si>
  <si>
    <t>og stedlige masser ellers</t>
  </si>
  <si>
    <t>Areal ved redusering av omfyllingsmasser</t>
  </si>
  <si>
    <t>*Se over</t>
  </si>
  <si>
    <t>Areal, omf. rundt rør - redusert areal</t>
  </si>
  <si>
    <t>Volum ved redusering av omfyllingsmasser</t>
  </si>
  <si>
    <t>Volum, gjenfylling+redusert areal</t>
  </si>
  <si>
    <t>Volum, omf. - redusert areal</t>
  </si>
  <si>
    <t>Vg+re</t>
  </si>
  <si>
    <t>Vomf-re</t>
  </si>
  <si>
    <t>Vg+re=Vg+Vre</t>
  </si>
  <si>
    <t>Vomf-re=Vomf-Vre</t>
  </si>
  <si>
    <t>Masseberegning per scenario</t>
  </si>
  <si>
    <t>Volum, rør &lt;500 mm</t>
  </si>
  <si>
    <t>Volum, rør &gt;500mm</t>
  </si>
  <si>
    <t>Volum, gjenfylling+redusert areat</t>
  </si>
  <si>
    <t>Volum, omf.-redusert areal</t>
  </si>
  <si>
    <t>Masseberegning, rør &lt;500mm</t>
  </si>
  <si>
    <t>Overskuddsmasser</t>
  </si>
  <si>
    <t>Totalt berørte masser</t>
  </si>
  <si>
    <t>Pukk (tilkjørte masser)</t>
  </si>
  <si>
    <t>Masseberegning, rør &gt;500mm</t>
  </si>
  <si>
    <t>Volum, rørsone (omf.+fundament)</t>
  </si>
  <si>
    <t>Volum, rørsone-redusert areal</t>
  </si>
  <si>
    <r>
      <t>1:</t>
    </r>
    <r>
      <rPr>
        <sz val="11"/>
        <color rgb="FF00B050"/>
        <rFont val="Calibri"/>
        <family val="2"/>
        <scheme val="minor"/>
      </rPr>
      <t>X</t>
    </r>
  </si>
  <si>
    <t>Masseberegning</t>
  </si>
  <si>
    <t>Gjenfylling:</t>
  </si>
  <si>
    <t>Omfylling rundt rør:</t>
  </si>
  <si>
    <t>Fundament:</t>
  </si>
  <si>
    <t>Rør:</t>
  </si>
  <si>
    <t>Rør</t>
  </si>
  <si>
    <t xml:space="preserve">      Scenario 1</t>
  </si>
  <si>
    <t>Totalt gjenbruk, stedlige masser</t>
  </si>
  <si>
    <t>Gjenbruk i rørsone</t>
  </si>
  <si>
    <t>Utslipp, scenario 1</t>
  </si>
  <si>
    <t>Utslipp, scenario 2</t>
  </si>
  <si>
    <t>Utslipp, scenario 3</t>
  </si>
  <si>
    <t>Transport, masser ut av anlegg</t>
  </si>
  <si>
    <t>Transport, masser inn til anlegg (pukk)</t>
  </si>
  <si>
    <t>Masser som skal sorteres</t>
  </si>
  <si>
    <t>Omkrets, rør</t>
  </si>
  <si>
    <t>Omgjøringsfaktor, mm til m</t>
  </si>
  <si>
    <t>Fiberduk, to lag rundt rør</t>
  </si>
  <si>
    <t>liter diesel/m^3</t>
  </si>
  <si>
    <t>Beregning av volum, stedlige masser som må sorteres for rørsonen</t>
  </si>
  <si>
    <t xml:space="preserve">Stedlige masser i rørsonen: </t>
  </si>
  <si>
    <t>Stedlige masser i rørsonen:</t>
  </si>
  <si>
    <t>Masse 1:</t>
  </si>
  <si>
    <t>Masse 2:</t>
  </si>
  <si>
    <t>Masse 3:</t>
  </si>
  <si>
    <t>Masse 4:</t>
  </si>
  <si>
    <t xml:space="preserve">Totalt: </t>
  </si>
  <si>
    <t>Volum som må sorteres for å fylle rørsone/omfylling med egnet stein (her: &lt; 56 mm)</t>
  </si>
  <si>
    <t>Masser ut av anlegg (overskuddsmasser)</t>
  </si>
  <si>
    <t>Volum som må sorteres for å fylle rørsone/omfylling med egnet stein ved komprimering (her: &lt; 32 mm)</t>
  </si>
  <si>
    <t>Kostnadsberegning</t>
  </si>
  <si>
    <t>Masser som skal knuses</t>
  </si>
  <si>
    <t>Omgjøringsfaktor, tonn til kg</t>
  </si>
  <si>
    <t>Pukk (produksjon)</t>
  </si>
  <si>
    <t xml:space="preserve">Fiberduk </t>
  </si>
  <si>
    <t>Delberegning</t>
  </si>
  <si>
    <t>SUM per meter grøft</t>
  </si>
  <si>
    <t>KJAPPE DATA</t>
  </si>
  <si>
    <t>Scenario 1:</t>
  </si>
  <si>
    <t>Scenario 2:</t>
  </si>
  <si>
    <t>Scenario 3:</t>
  </si>
  <si>
    <t>*Se egen tabell til høyre</t>
  </si>
  <si>
    <t>Linje q  (1:0,5)</t>
  </si>
  <si>
    <t>q</t>
  </si>
  <si>
    <t>r</t>
  </si>
  <si>
    <t>t</t>
  </si>
  <si>
    <t>w</t>
  </si>
  <si>
    <t>Linje w (1:2)</t>
  </si>
  <si>
    <t>Radius, rør</t>
  </si>
  <si>
    <t>r=d/2</t>
  </si>
  <si>
    <t>q=r+b</t>
  </si>
  <si>
    <t>w=(r+b)/2</t>
  </si>
  <si>
    <t>Linje t (hyp til q og w)</t>
  </si>
  <si>
    <t>h=t-r-b</t>
  </si>
  <si>
    <t xml:space="preserve">Trapes: </t>
  </si>
  <si>
    <t xml:space="preserve">Formler, areal: </t>
  </si>
  <si>
    <t>A=1/2*(a+b)*h</t>
  </si>
  <si>
    <t>Ag=(0,5(B+U)*G)/i</t>
  </si>
  <si>
    <t>Ao=(0,5(U+(d+2S))*(d+b))/i</t>
  </si>
  <si>
    <t>Af=(0,5(F+(d+2S))*f)/i</t>
  </si>
  <si>
    <t xml:space="preserve">d ≤ </t>
  </si>
  <si>
    <t>&lt; d ≤</t>
  </si>
  <si>
    <t xml:space="preserve">&lt; d ≤ </t>
  </si>
  <si>
    <t xml:space="preserve">&lt; d </t>
  </si>
  <si>
    <t>*</t>
  </si>
  <si>
    <t>Totalt volum, grøft (SUM)</t>
  </si>
  <si>
    <t>Ved gjenbruk av stedlige masser i hele rørsonen (omfylling og fundament),</t>
  </si>
  <si>
    <t>vil prosjektet spare</t>
  </si>
  <si>
    <t xml:space="preserve">vil prosjektet spare </t>
  </si>
  <si>
    <t>Kort oppsummert om kostnader</t>
  </si>
  <si>
    <t xml:space="preserve">Dette utgjør en prosentvis besparelse på </t>
  </si>
  <si>
    <t xml:space="preserve">Ved gjenbruk av stedlige masser i omfyllinga, men pukk i fundamentet, </t>
  </si>
  <si>
    <t xml:space="preserve">Ved gjenbruk av stedlige masser i hele rørsonen (omfylling og fundament), </t>
  </si>
  <si>
    <t>Kort oppsummert om utslipp</t>
  </si>
  <si>
    <t>Kort oppsummert om masser</t>
  </si>
  <si>
    <t>sammenligna med å bruke pukk i fundamentet.</t>
  </si>
  <si>
    <t>Enhetspriser brukt i analysen</t>
  </si>
  <si>
    <t>prosjektet gjenbruke</t>
  </si>
  <si>
    <t xml:space="preserve">prosjektet  </t>
  </si>
  <si>
    <t xml:space="preserve">*Prisene som står her kan endres i eget ark, se "Kostnader". </t>
  </si>
  <si>
    <t>Prisene kan kun endres der.</t>
  </si>
  <si>
    <t>Forklaring av OUPUT-fanen:</t>
  </si>
  <si>
    <t>I denne fanen gjengis de viktigste resultatene fra analysen presentert i tabeller og grafisk.</t>
  </si>
  <si>
    <t>I denne fanen (grønn) må ingen ruter endres. Tall og grafer genereres fra andre ark</t>
  </si>
  <si>
    <t>i modellen (se egne ark om grøft, stedlige masser, kostnader og klimagassberegninger).</t>
  </si>
  <si>
    <t>Ved å gjenbruke stedlige masser i omfyllinga og pukk i rørsonen, gjenbruker</t>
  </si>
  <si>
    <t xml:space="preserve">kubikk mer enn om pukk benyttes i hele </t>
  </si>
  <si>
    <t>Ved å gjenbruke stedlige masser i stedet for å bruke pukk i hele rørsonen, gjenbruker</t>
  </si>
  <si>
    <r>
      <t xml:space="preserve">kubikk </t>
    </r>
    <r>
      <rPr>
        <u/>
        <sz val="11"/>
        <color theme="1"/>
        <rFont val="Calibri"/>
        <family val="2"/>
        <scheme val="minor"/>
      </rPr>
      <t>mer</t>
    </r>
    <r>
      <rPr>
        <sz val="11"/>
        <color theme="1"/>
        <rFont val="Calibri"/>
        <family val="2"/>
        <scheme val="minor"/>
      </rPr>
      <t xml:space="preserve"> av de stedlige massene.</t>
    </r>
  </si>
  <si>
    <t xml:space="preserve">Meterprisen blir da </t>
  </si>
  <si>
    <t>lavere enn hvis pukk benyttes i hele rørsonen.</t>
  </si>
  <si>
    <t>sammenligna med å bruke pukk i hele rørsonen.</t>
  </si>
  <si>
    <t>Scenario 1 vs. Scenario 3</t>
  </si>
  <si>
    <t>Scenario 1 vs. Scenario 2</t>
  </si>
  <si>
    <t>Scenario 2 vs. Scenario 3</t>
  </si>
  <si>
    <t>Dette utgjør en differanse på</t>
  </si>
  <si>
    <t>rørsonen. Dette utgjør en differanse på</t>
  </si>
  <si>
    <t>Ved å gjenbruke stedlige masser i hele rørsonen (omfylling og fundament), vil</t>
  </si>
  <si>
    <t>Hvis pukk brukes i hele rørsonen, vil det utgjøre</t>
  </si>
  <si>
    <t>av hele grøfta.</t>
  </si>
  <si>
    <t>Meterpris, Scenario 1:</t>
  </si>
  <si>
    <t>Meterpris, Scenario 2:</t>
  </si>
  <si>
    <t>Meterpris, Scenario 3:</t>
  </si>
  <si>
    <t xml:space="preserve">OBS: Husk at prisene ikke utgjør totalpris for hele prosjektet, men priser knytta til materialvalg i rørsonen. </t>
  </si>
  <si>
    <t>Totalpris, Scenario 1:</t>
  </si>
  <si>
    <t>Totalpris, Scenario 2:</t>
  </si>
  <si>
    <t>Totalpris, Scenario 3:</t>
  </si>
  <si>
    <t>Kort om kostnader for bruk av fiberduk</t>
  </si>
  <si>
    <t>Bruk av fiberduk uansett</t>
  </si>
  <si>
    <t>Beskyttelse av rør (fiberduk). Levering og montering:</t>
  </si>
  <si>
    <t>/m</t>
  </si>
  <si>
    <t xml:space="preserve">Dersom det skal brukes fiberduk, vil det koste </t>
  </si>
  <si>
    <t xml:space="preserve">Det utgjør en prosentvis økning på </t>
  </si>
  <si>
    <t xml:space="preserve">Scenario 1: </t>
  </si>
  <si>
    <t xml:space="preserve">Kostnad uten fiberduk: </t>
  </si>
  <si>
    <t xml:space="preserve">OBS: Husk at dette ikke er totalutslipp for prosjektet, men utslipp knytta til materialvalg i rørsonen. </t>
  </si>
  <si>
    <t xml:space="preserve">Utslipp, Scenario 1: </t>
  </si>
  <si>
    <t>Utslipp, Scenario 2:</t>
  </si>
  <si>
    <t>Utslipp, Scenario 3:</t>
  </si>
  <si>
    <t>Kost om utslipp ved bruk av fiberduk</t>
  </si>
  <si>
    <t>Dersom det skal brukes fiberduk, vil det føre til utslipp av</t>
  </si>
  <si>
    <t>Beregning, utslipp av fiberduk</t>
  </si>
  <si>
    <t xml:space="preserve">Fiberduk, produksjon: </t>
  </si>
  <si>
    <t>Sum uten fiberduk:</t>
  </si>
  <si>
    <t>Det utgjør en prosentvis besparelse på</t>
  </si>
  <si>
    <t xml:space="preserve">Det utgjør en prosentvis besparelse på </t>
  </si>
  <si>
    <t>OBS: Husk at beregningene er forenklet, og dermed ikke gjenspeiler hele bildet.</t>
  </si>
  <si>
    <t xml:space="preserve">Gjenbrukte masser, Scenario 1: </t>
  </si>
  <si>
    <t xml:space="preserve">Gjenbrukte masser, Scenario 2: </t>
  </si>
  <si>
    <t>av berørte masser.</t>
  </si>
  <si>
    <t xml:space="preserve">Gjenbrukte masser, Scenario 3: </t>
  </si>
  <si>
    <t xml:space="preserve">av berørte masser. </t>
  </si>
  <si>
    <t>kubikk mer av de stedlige massene enn</t>
  </si>
  <si>
    <t xml:space="preserve">om pukk brukes i fundamentet. </t>
  </si>
  <si>
    <t>SQRT((X39^2)+(X40^2))</t>
  </si>
  <si>
    <t xml:space="preserve">*Legg merke til at β ikke endres av endringer i grøftesnitt (se figur til venstre). </t>
  </si>
  <si>
    <t>Grense for rørdiameter for redusert areal</t>
  </si>
  <si>
    <t xml:space="preserve">Trekant: </t>
  </si>
  <si>
    <t>A=1/2*a*b*sinC</t>
  </si>
  <si>
    <t>Totalt redusert areal</t>
  </si>
  <si>
    <t>av utslipp knytta til materialvalg i rørsone.</t>
  </si>
  <si>
    <t>av utslipp knytta til materialvalg i rørsone</t>
  </si>
  <si>
    <t>av kostnader knytta til materialvalg i rørsone.</t>
  </si>
  <si>
    <t>Rigg og drift av alle øvrige grøftearbeider</t>
  </si>
  <si>
    <t>B=F+nD</t>
  </si>
  <si>
    <r>
      <t>Are=((0,5*k*m*sin</t>
    </r>
    <r>
      <rPr>
        <sz val="12"/>
        <rFont val="Calibri"/>
        <family val="2"/>
      </rPr>
      <t>β)*2)/i</t>
    </r>
  </si>
  <si>
    <t>*Har minst F=</t>
  </si>
  <si>
    <t>*Merk at dette gjelder prosent av kostnader knytta til materialvalg i rørsonen, og ikke totalpris for prosjektet.</t>
  </si>
  <si>
    <t>*Merk at dette gjelder prosent av utslipp knytta til materialvalg i rørsonen, og ikke totalutslipp for prosjektet.</t>
  </si>
  <si>
    <t>s</t>
  </si>
  <si>
    <t>F=d+2s-nf</t>
  </si>
  <si>
    <t>Sidefylling (s)</t>
  </si>
  <si>
    <t>Kostnader per scenario (NOK)</t>
  </si>
  <si>
    <t xml:space="preserve">Skal det benyttes fiberduk som beskyttelse rundt rørene: </t>
  </si>
  <si>
    <t xml:space="preserve">Angi diameter på rør: </t>
  </si>
  <si>
    <t>*Vær oppmerksom på at dette ikke påvirker anna enn pris og utslipp, og dermed vil være likt for alle tre scenarier.</t>
  </si>
  <si>
    <t>Rørbeskyttelse</t>
  </si>
  <si>
    <r>
      <t>m</t>
    </r>
    <r>
      <rPr>
        <vertAlign val="superscript"/>
        <sz val="11"/>
        <color theme="1"/>
        <rFont val="Calibri"/>
        <family val="2"/>
        <scheme val="minor"/>
      </rPr>
      <t>3</t>
    </r>
  </si>
  <si>
    <r>
      <t>Pukk og overskuddsmasser (m</t>
    </r>
    <r>
      <rPr>
        <b/>
        <vertAlign val="superscript"/>
        <sz val="18"/>
        <color theme="1"/>
        <rFont val="Calibri"/>
        <family val="2"/>
        <scheme val="minor"/>
      </rPr>
      <t>3</t>
    </r>
    <r>
      <rPr>
        <b/>
        <sz val="18"/>
        <color theme="1"/>
        <rFont val="Calibri"/>
        <family val="2"/>
        <scheme val="minor"/>
      </rPr>
      <t>)</t>
    </r>
  </si>
  <si>
    <r>
      <t>kg CO</t>
    </r>
    <r>
      <rPr>
        <vertAlign val="subscript"/>
        <sz val="11"/>
        <color theme="1"/>
        <rFont val="Calibri"/>
        <family val="2"/>
        <scheme val="minor"/>
      </rPr>
      <t>2</t>
    </r>
    <r>
      <rPr>
        <sz val="11"/>
        <color theme="1"/>
        <rFont val="Calibri"/>
        <family val="2"/>
        <scheme val="minor"/>
      </rPr>
      <t>-eq</t>
    </r>
  </si>
  <si>
    <r>
      <t>kg CO</t>
    </r>
    <r>
      <rPr>
        <b/>
        <vertAlign val="subscript"/>
        <sz val="11"/>
        <color theme="1"/>
        <rFont val="Calibri"/>
        <family val="2"/>
        <scheme val="minor"/>
      </rPr>
      <t>2</t>
    </r>
    <r>
      <rPr>
        <b/>
        <sz val="11"/>
        <color theme="1"/>
        <rFont val="Calibri"/>
        <family val="2"/>
        <scheme val="minor"/>
      </rPr>
      <t>-eq</t>
    </r>
  </si>
  <si>
    <r>
      <t>Det utgjør en prosentvis økning i utslipp (kg CO</t>
    </r>
    <r>
      <rPr>
        <vertAlign val="subscript"/>
        <sz val="11"/>
        <color theme="1"/>
        <rFont val="Calibri"/>
        <family val="2"/>
        <scheme val="minor"/>
      </rPr>
      <t>2</t>
    </r>
    <r>
      <rPr>
        <sz val="11"/>
        <color theme="1"/>
        <rFont val="Calibri"/>
        <family val="2"/>
        <scheme val="minor"/>
      </rPr>
      <t xml:space="preserve">-eq) på </t>
    </r>
  </si>
  <si>
    <r>
      <rPr>
        <b/>
        <sz val="11"/>
        <color theme="1"/>
        <rFont val="Calibri"/>
        <family val="2"/>
        <scheme val="minor"/>
      </rPr>
      <t>kg CO</t>
    </r>
    <r>
      <rPr>
        <b/>
        <vertAlign val="subscript"/>
        <sz val="11"/>
        <color theme="1"/>
        <rFont val="Calibri"/>
        <family val="2"/>
        <scheme val="minor"/>
      </rPr>
      <t>2</t>
    </r>
    <r>
      <rPr>
        <b/>
        <sz val="11"/>
        <color theme="1"/>
        <rFont val="Calibri"/>
        <family val="2"/>
        <scheme val="minor"/>
      </rPr>
      <t>-eq</t>
    </r>
    <r>
      <rPr>
        <sz val="11"/>
        <color theme="1"/>
        <rFont val="Calibri"/>
        <family val="2"/>
        <scheme val="minor"/>
      </rPr>
      <t xml:space="preserve"> sammenligna med å bruke pukk i hele rørsonen.</t>
    </r>
  </si>
  <si>
    <r>
      <rPr>
        <b/>
        <sz val="11"/>
        <color theme="1"/>
        <rFont val="Calibri"/>
        <family val="2"/>
        <scheme val="minor"/>
      </rPr>
      <t>kg CO</t>
    </r>
    <r>
      <rPr>
        <b/>
        <vertAlign val="subscript"/>
        <sz val="11"/>
        <color theme="1"/>
        <rFont val="Calibri"/>
        <family val="2"/>
        <scheme val="minor"/>
      </rPr>
      <t>2</t>
    </r>
    <r>
      <rPr>
        <b/>
        <sz val="11"/>
        <color theme="1"/>
        <rFont val="Calibri"/>
        <family val="2"/>
        <scheme val="minor"/>
      </rPr>
      <t>-eq</t>
    </r>
    <r>
      <rPr>
        <sz val="11"/>
        <color theme="1"/>
        <rFont val="Calibri"/>
        <family val="2"/>
        <scheme val="minor"/>
      </rPr>
      <t xml:space="preserve"> sammenligna med å bruke pukk i fundamentet.</t>
    </r>
  </si>
  <si>
    <r>
      <t>Utslippsberegning per scenario (kg CO</t>
    </r>
    <r>
      <rPr>
        <b/>
        <vertAlign val="subscript"/>
        <sz val="18"/>
        <color theme="1"/>
        <rFont val="Calibri"/>
        <family val="2"/>
        <scheme val="minor"/>
      </rPr>
      <t>2</t>
    </r>
    <r>
      <rPr>
        <b/>
        <sz val="18"/>
        <color theme="1"/>
        <rFont val="Calibri"/>
        <family val="2"/>
        <scheme val="minor"/>
      </rPr>
      <t>-eq)</t>
    </r>
  </si>
  <si>
    <t>Kostnadsberegning per scenario (NOK)</t>
  </si>
  <si>
    <r>
      <t>Utslipp per scenario (kg CO</t>
    </r>
    <r>
      <rPr>
        <b/>
        <vertAlign val="subscript"/>
        <sz val="18"/>
        <color theme="1"/>
        <rFont val="Calibri"/>
        <family val="2"/>
        <scheme val="minor"/>
      </rPr>
      <t>2</t>
    </r>
    <r>
      <rPr>
        <b/>
        <sz val="18"/>
        <color theme="1"/>
        <rFont val="Calibri"/>
        <family val="2"/>
        <scheme val="minor"/>
      </rPr>
      <t>-eq)</t>
    </r>
  </si>
  <si>
    <r>
      <t>m</t>
    </r>
    <r>
      <rPr>
        <vertAlign val="superscript"/>
        <sz val="12"/>
        <color theme="1"/>
        <rFont val="Calibri"/>
        <family val="2"/>
        <scheme val="minor"/>
      </rPr>
      <t>2</t>
    </r>
  </si>
  <si>
    <r>
      <t>m</t>
    </r>
    <r>
      <rPr>
        <vertAlign val="superscript"/>
        <sz val="12"/>
        <color theme="0" tint="-0.499984740745262"/>
        <rFont val="Calibri"/>
        <family val="2"/>
        <scheme val="minor"/>
      </rPr>
      <t>2</t>
    </r>
  </si>
  <si>
    <r>
      <t>m</t>
    </r>
    <r>
      <rPr>
        <vertAlign val="superscript"/>
        <sz val="12"/>
        <rFont val="Calibri"/>
        <family val="2"/>
        <scheme val="minor"/>
      </rPr>
      <t>3</t>
    </r>
  </si>
  <si>
    <r>
      <t>m</t>
    </r>
    <r>
      <rPr>
        <vertAlign val="superscript"/>
        <sz val="12"/>
        <color theme="0" tint="-0.499984740745262"/>
        <rFont val="Calibri"/>
        <family val="2"/>
        <scheme val="minor"/>
      </rPr>
      <t>3</t>
    </r>
  </si>
  <si>
    <r>
      <t>m</t>
    </r>
    <r>
      <rPr>
        <vertAlign val="superscript"/>
        <sz val="12"/>
        <color theme="1"/>
        <rFont val="Calibri"/>
        <family val="2"/>
        <scheme val="minor"/>
      </rPr>
      <t>3</t>
    </r>
  </si>
  <si>
    <r>
      <t>m</t>
    </r>
    <r>
      <rPr>
        <vertAlign val="superscript"/>
        <sz val="11"/>
        <rFont val="Calibri"/>
        <family val="2"/>
        <scheme val="minor"/>
      </rPr>
      <t xml:space="preserve">3 </t>
    </r>
  </si>
  <si>
    <t>Rigg og drift (%) av alle øvrige grøftearbeider</t>
  </si>
  <si>
    <r>
      <t>m</t>
    </r>
    <r>
      <rPr>
        <vertAlign val="superscript"/>
        <sz val="11"/>
        <color theme="1"/>
        <rFont val="Calibri"/>
        <family val="2"/>
        <scheme val="minor"/>
      </rPr>
      <t>2</t>
    </r>
  </si>
  <si>
    <r>
      <t>tonn/m</t>
    </r>
    <r>
      <rPr>
        <vertAlign val="superscript"/>
        <sz val="11"/>
        <rFont val="Calibri"/>
        <family val="2"/>
        <scheme val="minor"/>
      </rPr>
      <t>3</t>
    </r>
  </si>
  <si>
    <r>
      <t>m</t>
    </r>
    <r>
      <rPr>
        <vertAlign val="superscript"/>
        <sz val="11"/>
        <rFont val="Calibri"/>
        <family val="2"/>
        <scheme val="minor"/>
      </rPr>
      <t>3</t>
    </r>
  </si>
  <si>
    <r>
      <t>Masseberegning per scenario (m</t>
    </r>
    <r>
      <rPr>
        <b/>
        <vertAlign val="superscript"/>
        <sz val="18"/>
        <color theme="1"/>
        <rFont val="Calibri"/>
        <family val="2"/>
        <scheme val="minor"/>
      </rPr>
      <t>3</t>
    </r>
    <r>
      <rPr>
        <b/>
        <sz val="18"/>
        <color theme="1"/>
        <rFont val="Calibri"/>
        <family val="2"/>
        <scheme val="minor"/>
      </rPr>
      <t>)</t>
    </r>
  </si>
  <si>
    <r>
      <t xml:space="preserve">β </t>
    </r>
    <r>
      <rPr>
        <b/>
        <sz val="8.8000000000000007"/>
        <color theme="1"/>
        <rFont val="Calibri"/>
        <family val="2"/>
        <scheme val="minor"/>
      </rPr>
      <t>=</t>
    </r>
  </si>
  <si>
    <t>Rørdiameter (mm)</t>
  </si>
  <si>
    <t>d &lt;</t>
  </si>
  <si>
    <t>≤ d ≤</t>
  </si>
  <si>
    <t>Fundament (f) (Løsmasser)</t>
  </si>
  <si>
    <t>*Hentet fra NS 3420 FS3.1, tabell F12</t>
  </si>
  <si>
    <t>Nei</t>
  </si>
  <si>
    <t>Beskrivelse</t>
  </si>
  <si>
    <t xml:space="preserve">Økt bruk av stedlige masser som omfyllingsmasser gir muligheter for både miljø- og kostnadsmessige besparelser. I tillegg vil økt gjenbruk av stedlige masser medføre mindre bruk av pukk- og grusressurser som heller kunne vært brukt til andre formål. PAMs beregningsmodell gir estimat på kostnads- og utslippsforskjeller mellom prosjekt som bruker stedlige masser som omfyllingsmasser i hele eller deler av ledningssonen, og prosjekt som bruker grus- og pukkressurser. I tillegg viser modellens tre scenarier fordeling av masser ved varierende grad av gjenbruk av stedlige masser. </t>
  </si>
  <si>
    <t xml:space="preserve">I utarbeidelsen av modellen er det satt rammer og premisser for beregningene, og det er gjort en rekke forenklinger. Disse beskrives nærmere under. </t>
  </si>
  <si>
    <t>BAKGRUNN - PAM Beregningsmodell</t>
  </si>
  <si>
    <t>Versjon</t>
  </si>
  <si>
    <t>Rammer for beregningene</t>
  </si>
  <si>
    <t xml:space="preserve">Det regnes kun på variabler som endres som følge av endringer i omfyllingsmasser. Resultatene av kostnads- og utslippsberegningene representerer dermed kun den delen av totalberegningen som angår valg av masser. </t>
  </si>
  <si>
    <t>Grøfta</t>
  </si>
  <si>
    <t xml:space="preserve">Det er tatt utgangspunkt i ei ettrørsgrøft uten overliggende trafikklast. Grøfta går gjennom løsmasser. </t>
  </si>
  <si>
    <t xml:space="preserve">Det forutsettes skånsom leggemetode for omfyllingsmasser, jf. NS 3420. Stedlige masser som skal gjenbrukes skal i alle tilfeller godkjennes av byggherren, jf. NS 3420. </t>
  </si>
  <si>
    <t>Definisjoner</t>
  </si>
  <si>
    <t xml:space="preserve">Figuren viser utforming av grøftesnittet modellen baseres på. </t>
  </si>
  <si>
    <t>Definerte parametere og variabler i grøftesnittet:</t>
  </si>
  <si>
    <t>1:x</t>
  </si>
  <si>
    <t>Graveskråning</t>
  </si>
  <si>
    <t xml:space="preserve">I arket «Input og output» har bruker mulighet til å endre rørdiameter (d) og graveskråning. Grøftesnittet varierer med diameter (d). </t>
  </si>
  <si>
    <t>Rørdiameter er rørets indre diameter. Rørets tykkelse er ikke medregnet i beregningene.</t>
  </si>
  <si>
    <t>Tykkelse, fundament</t>
  </si>
  <si>
    <t xml:space="preserve">Tykkelsen på fundamentet (f) er gitt av NS 3420 FS3.1, tabell F12, og varierer med rørdiameter (d). Tabellen er gitt i arket «Grøft». </t>
  </si>
  <si>
    <t>Tykkelse, beskyttelseslag</t>
  </si>
  <si>
    <t xml:space="preserve">Tykkelsen på beskyttelseslaget (b) skal ifølge PAMs egen leggeanvisning være minst 100 mm, og er i modellen satt til 300 mm. Dette samsvarer med NS 3420 og NS-EN 1610:2015, punkt 11. </t>
  </si>
  <si>
    <t>Tykkelse, overdekning</t>
  </si>
  <si>
    <t xml:space="preserve">Tykkelsen på overdekningen (o)/frostfri sone er satt til 1800 mm. Denne er markert i rødt i arket «Grøft» og kan justeres ved behov. </t>
  </si>
  <si>
    <t>Bredde, sidefylling</t>
  </si>
  <si>
    <t xml:space="preserve">Bredden på sidefyllinga (s) er gitt av VA/Miljøblad nr. 6 - Grøfteutførelse stive rør, og varierer med rørdiameter (d). Tabellen er gitt i arket «Grøft». </t>
  </si>
  <si>
    <t>Vinkel mellom toppflate omfylling og beskyttelseslag ved reduksjon av omfylling ved store rør (500 mm &lt; d)</t>
  </si>
  <si>
    <t>Basert på naturlig helningsvinkel eller rasvinkel for masser.</t>
  </si>
  <si>
    <t>Omregningsfaktor for grøftesnitt</t>
  </si>
  <si>
    <t xml:space="preserve">Varierer med valgt graveskråning. </t>
  </si>
  <si>
    <t>Bredde, fundament</t>
  </si>
  <si>
    <t>Tykkelse, gjenfylling</t>
  </si>
  <si>
    <t>Dybde, grøft</t>
  </si>
  <si>
    <t>Bredde, grøft</t>
  </si>
  <si>
    <t>Bredde, gjenfylling</t>
  </si>
  <si>
    <t xml:space="preserve">For store rør benyttes et øvre fundament som støtter opp om røret i underkant. Et slikt øvre fundament er ikke inkludert i beregningene. </t>
  </si>
  <si>
    <t xml:space="preserve">Bruker kan justere grøftelengden i arket «Input og output». </t>
  </si>
  <si>
    <t>Scenarier</t>
  </si>
  <si>
    <t xml:space="preserve">Modellen regner ut tre scenarier. Disse viser fordelinga mellom stedlige masser og pukk ved varierende grad av gjenbruk av stedlige masser. </t>
  </si>
  <si>
    <t xml:space="preserve">Scenario 3: </t>
  </si>
  <si>
    <t xml:space="preserve">Stedlige masser benyttes i hele ledningssonen. Det benyttes ikke pukk.   </t>
  </si>
  <si>
    <t xml:space="preserve">De stedlige massene kan ikke brukes som omfyllingsmasser. Det benyttes pukk i hele ledningssonen. </t>
  </si>
  <si>
    <t xml:space="preserve">Det er nødvendig med pukk i fundament. Stedlige masser benyttes i omfyllinga. </t>
  </si>
  <si>
    <t>Avstand</t>
  </si>
  <si>
    <t xml:space="preserve">Bruker kan justere avstandene inn og ut av anlegg i arket «Input og output». </t>
  </si>
  <si>
    <t xml:space="preserve">Vær oppmerksom på at priser for transport tar utgangspunkt i avstander inn og ut av anlegg mellom 10-15 km. Dersom avstandene avviker mye fra utgangspunktet kan kostnadsberegningene bli noe unøyaktige. </t>
  </si>
  <si>
    <t>Masser</t>
  </si>
  <si>
    <t>Inndeling av stedlige masser</t>
  </si>
  <si>
    <t xml:space="preserve">Det er stor variasjon i stedlige masser, og det er derfor nødvendig med ei forenkling som deler stedlige masser inn i håndterbare grupper. Det skilles mellom stedlige masser som egner seg som omfyllingsmasser og stedlige masser som ikke egner seg som omfyllingsmasser. Kjemiske egenskaper er ikke hensyntatt. Massenes egnethet bestemmes derfor ut fra partikkelstørrelse, og massene deles inn i grupper etter fraksjoner. </t>
  </si>
  <si>
    <t xml:space="preserve">Det er valgt å beskrive massetyper etter løsmassebeskrivelser gitt i NGUs løsmassekart (https://geo.ngu.no/kart/losmasse_mobil/). Ved å bruke NGUs løsmassekart knyttes gruppene til norske forhold. Merk at oppgitte masser kun må tas som eksempler på type masser man kan treffe på i felt. I virkeligheten vil dette variere veldig. Merk også at løsmassekartet til NGU kun gir en indikasjon på hva et øvre lag i jordprofilet består av. For å få kjennskap til grunnens egenskaper i dybden er det nødvendig med geotekniske grunnundersøkelser. Stedlige masser som skal gjenbrukes skal i alle tilfeller godkjennes av byggherren, jf. NS 3420. </t>
  </si>
  <si>
    <t>Inndelinga av masser etter fraksjoner er gitt i arket «Stedlige masser». Massene er delt inn i gruppene:</t>
  </si>
  <si>
    <t xml:space="preserve">-          Masse 1: Elveavsetninger (gult i NGUs løsmassekart): sand og grus dominerer, og materialet er rundet og sortert. </t>
  </si>
  <si>
    <t xml:space="preserve">-          Masse 2: Marine strandavsetninger (mørkeblått): kornstørrelse varierer fra sand til blokk, men sand og grus er vanligst. </t>
  </si>
  <si>
    <t xml:space="preserve">-          Masse 3 og 4: Morene (grønt): kan inneholde alt fra leir til stein og blokk. Masse 3 og 4 er beskrevet som sandig og grusig morene, da morene med høyt finstoffinnhold (leirig/siltig morene) er utfordrende å håndtere i felt/sortere. </t>
  </si>
  <si>
    <t>Benevninga av jordarter er basert på NS EN ISO 14688-1, tabell 1.</t>
  </si>
  <si>
    <t xml:space="preserve">I arket «Input og output» kan bruker velge mellom «Masse 1: Elveavsetninger/Masse 2: Marine strandavsetninger/Masse 3: Sandig morene/Masse 4: Grusig morene». </t>
  </si>
  <si>
    <t>Frost</t>
  </si>
  <si>
    <t>Komprimering</t>
  </si>
  <si>
    <t xml:space="preserve">Behov for komprimering bestemmes ut fra overliggende belastning, jordart, vanninnhold og type komprimering. </t>
  </si>
  <si>
    <t xml:space="preserve">Komprimering av masser i grøfta gjennomføres både ved bruk av stedlige masser og pukk. Komprimering og kostnader og utslipp knytta til det er derfor ikke hensyntatt i modellen. </t>
  </si>
  <si>
    <t>Utvidelsesfaktorer</t>
  </si>
  <si>
    <t xml:space="preserve">Utvidelsesfaktorer er ikke hensyntatt i beregningene. Dette er praksis ved bruk av Anslagsmetoden fra Statens Vegvesen. </t>
  </si>
  <si>
    <t>Behandling av masser</t>
  </si>
  <si>
    <r>
      <t>I utgangspunktet kan det benyttes usorterte masser i gjenfyllinga, slik at masser som ikke egner seg i omfyllinga (for store fraksjoner) kan legges i gjenfyllinga. Generelt gjelder det at beskyttelseslaget skal være minst 100 mm tykt, og er her satt til 300 mm. Beskyttelseslagets tykkelse må være minst lik 2/3 av de største elementene i gjenfyllinga. Med et beskyttelseslag på 300 mm må steiner med D</t>
    </r>
    <r>
      <rPr>
        <vertAlign val="subscript"/>
        <sz val="11"/>
        <color theme="1"/>
        <rFont val="Calibri"/>
        <family val="2"/>
        <scheme val="minor"/>
      </rPr>
      <t>maks målt</t>
    </r>
    <r>
      <rPr>
        <sz val="11"/>
        <color theme="1"/>
        <rFont val="Calibri"/>
        <family val="2"/>
        <scheme val="minor"/>
      </rPr>
      <t xml:space="preserve"> &gt; 450 mm sorteres ut. En slik sortering for masser som skal legges i gjenfyllinga er ikke hensyntatt i beregningene. </t>
    </r>
  </si>
  <si>
    <t xml:space="preserve">Ved store mengder stor stein vil også knusing med f.eks. knuseskuffe til gravemaskin være et alternativ for behandling av masser. Ved graving i løsmasser vil behovet for knusing være begrenset, da store fraksjoner kan legges i gjenfyllinga. Knusing er derfor ikke regnet på i modellen. </t>
  </si>
  <si>
    <t>Utslipp</t>
  </si>
  <si>
    <t>Modellen gjør klimagassberegninger på et overordna nivå, hvor de største bidragsyterne til klimagassutslipp fra arbeidene kvantifiseres. De største bidragene til utslipp er vurdert å være:</t>
  </si>
  <si>
    <t xml:space="preserve">I tillegg er produksjon av fiberduk som beskyttelse rundt rørene inkludert. Bruker har selv mulighet til å bestemme om fiberduk skal inkluderes i beregningene eller ikke ved å velge «Ja/Nei» i arket «Input og output». </t>
  </si>
  <si>
    <t>Kostnader</t>
  </si>
  <si>
    <t xml:space="preserve">Kostnadsbærere som er vurdert å ha betydning for forskjellen mellom bruk av stedlige- og tilkjørte masser er vist i arket «Kostnader». </t>
  </si>
  <si>
    <t>Masse 1: Elveavsetninger</t>
  </si>
  <si>
    <r>
      <t>Grøfta deles inn i delene gjenfylling, beskyttelseslag, sidefylling og fundament, som vist i figuren under. Sidefyllinga og beskyttelseslaget utgjør omfyllinga, som vist i figuren under. Fundamentet og omfyllinga utgjør ledningssonen. Det stilles krav til maksimal fraksjon for massene som skal benyttes i ledningssonen. I gjenfyllinga kan det benyttes usorterte masser, men steiner med D</t>
    </r>
    <r>
      <rPr>
        <vertAlign val="subscript"/>
        <sz val="11"/>
        <color theme="1"/>
        <rFont val="Calibri"/>
        <family val="2"/>
        <scheme val="minor"/>
      </rPr>
      <t>maks målt</t>
    </r>
    <r>
      <rPr>
        <sz val="11"/>
        <color theme="1"/>
        <rFont val="Calibri"/>
        <family val="2"/>
        <scheme val="minor"/>
      </rPr>
      <t xml:space="preserve"> &gt; 500 mm må sorteres ut, jf. NS 3420. En slik sortering er ikke hensyntatt i beregningene. </t>
    </r>
  </si>
  <si>
    <t>Dersom rørdiameter (d) er større enn 500 mm, reduseres omfyllingssonen, som vist med stiplede linjer i figuren av grøftesnittet. Ved reduksjon av omfyllinga vil beskyttelseslaget (b) fortsatt være 300 mm.</t>
  </si>
  <si>
    <t xml:space="preserve">Ulike rør stiller ulike krav til omfyllingsmasser. Beregningene tar utgangspunkt i kravene for PAMs duktile støpejernsrør med TT PE-belegg. Fra PAMs leggeanvisning gjelder det at tilkjørte masser skal være i henhold til NS-EN 13242. Stedlige masser bør være siktet og ha gradering som etter NS-EN 13242. Ved bruk av støpejernsrør med TT PE-rør skal kornstørrelsen til stedlige masser være ≤ 32 mm dersom massene skal komprimeres i gravegrop, og ≤ 56 mm dersom massene ikke skal komprimeres. </t>
  </si>
  <si>
    <t xml:space="preserve">Beregningene tar utgangspunkt i at omfyllingsmassene vil ligge i frostfri sone. Overdekningen/frostfri sone er satt til 1800 mm. Denne kan justeres ved behov i arket "Grøft". Telefarlighet for stedlige masser er ikke hensyntatt i beregningene. </t>
  </si>
  <si>
    <t xml:space="preserve">Komprimeringsstandard NS 3458 har i tabell 1 delt massene inn i forskjellige grupper, fra A-G, der A = sprengt stein, B = knuste materialer, C = grus, D = sand, F = finsand og silt, F = leire og G = lette masser som skumglass, lettklinker og lettbetongbrudd. For ledningssonen er det oppgitt krav til komprimering i Tabell 4. Tabell 4 har kun gjengitt type B – D som komprimerbare masser i ledningssonen. Bruk av gruppe E og F må vurderes spesielt. Ved inndeling av stedlige masser gitt i arket «Stedlige masser» er masser i gruppene E og F ekskludert. </t>
  </si>
  <si>
    <t>Ved behov kan stedlige masser som ikke oppfyller krav knytta til kornstørrelse/fraksjoner for omfyllingsmasser behandles i tiltaksområdet. Modellen tar utgangspunkt i at massene kan bearbeides ved bruk av verktøy til gravemaskin. Behandlingen begrenses til sortering med sorteringsskuffe på gravemaskin.</t>
  </si>
  <si>
    <t>•	Produksjon av pukk
•	Transport av pukk inn til anlegg
•	Transport av stedlige masser ut av anlegg
•	Behandling av masser (sortering)</t>
  </si>
  <si>
    <t xml:space="preserve">Postene som er satt opp i kostnadsberegningen er basert på prisoppsett i NS 3420, men er tilpasset modellen slik at kun de postene som endres ved valg av masser er inkludert. </t>
  </si>
  <si>
    <t xml:space="preserve">Enhetsprisene er basert på priser Norconsult har hentet inn i forbindelse med relevante prosjekt. Priser varierer med tid, geografi, entreprenør m.m. Modellen er derfor lagt opp slik at bruker selv kan endre prisene. Vær oppmerksom på at enhetspriser kun kan endres i arket «Kostnader». Det vil si at den blå tabellen i arket «Input og output» ikke må endres. Denne oppdateres automatisk ved endringer i arket «Kostnader». </t>
  </si>
  <si>
    <t xml:space="preserve">Klimagassutslippene beregnes med utslippsfaktorer og aktivitetsdata fra Statens vegvesen sitt klimagassverktøy VegLCA. Faktorene i verktøyet er tilpasset norske vegprosjekter, og antas å være representative for dette prosjektet. </t>
  </si>
  <si>
    <t xml:space="preserve">Data for klimagassberegningene er hentet fra </t>
  </si>
  <si>
    <t>Oppdatert:</t>
  </si>
  <si>
    <t>31.03.2023</t>
  </si>
  <si>
    <t>VegLCA v5.11B. 02.03.22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</si>
</sst>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
    <numFmt numFmtId="165" formatCode="0.0000"/>
    <numFmt numFmtId="166" formatCode="0.0"/>
    <numFmt numFmtId="167" formatCode="0.000"/>
    <numFmt numFmtId="168" formatCode="&quot;kr&quot;\ #,##0.00"/>
    <numFmt numFmtId="169" formatCode="&quot;kr&quot;\ #,##0"/>
    <numFmt numFmtId="170" formatCode="0.00000000"/>
  </numFmts>
  <fonts count="72" x14ac:knownFonts="1">
    <font>
      <sz val="11"/>
      <color theme="1"/>
      <name val="Calibri"/>
      <family val="2"/>
      <scheme val="minor"/>
    </font>
    <font>
      <sz val="11"/>
      <color theme="0"/>
      <name val="Calibri"/>
      <family val="2"/>
      <scheme val="minor"/>
    </font>
    <font>
      <sz val="16"/>
      <color theme="1"/>
      <name val="Calibri"/>
      <family val="2"/>
      <scheme val="minor"/>
    </font>
    <font>
      <b/>
      <sz val="18"/>
      <color theme="0"/>
      <name val="Calibri"/>
      <family val="2"/>
      <scheme val="minor"/>
    </font>
    <font>
      <b/>
      <i/>
      <sz val="11"/>
      <color theme="1"/>
      <name val="Calibri"/>
      <family val="2"/>
      <scheme val="minor"/>
    </font>
    <font>
      <b/>
      <sz val="14"/>
      <color theme="1"/>
      <name val="Calibri"/>
      <family val="2"/>
      <scheme val="minor"/>
    </font>
    <font>
      <b/>
      <sz val="14"/>
      <color rgb="FFFFC000"/>
      <name val="Calibri"/>
      <family val="2"/>
      <scheme val="minor"/>
    </font>
    <font>
      <b/>
      <sz val="14"/>
      <color theme="0"/>
      <name val="Calibri"/>
      <family val="2"/>
      <scheme val="minor"/>
    </font>
    <font>
      <b/>
      <sz val="18"/>
      <name val="Calibri"/>
      <family val="2"/>
      <scheme val="minor"/>
    </font>
    <font>
      <sz val="18"/>
      <color theme="1"/>
      <name val="Calibri"/>
      <family val="2"/>
      <scheme val="minor"/>
    </font>
    <font>
      <b/>
      <sz val="20"/>
      <color theme="1"/>
      <name val="Calibri"/>
      <family val="2"/>
      <scheme val="minor"/>
    </font>
    <font>
      <b/>
      <sz val="11"/>
      <color theme="1"/>
      <name val="Calibri"/>
      <family val="2"/>
      <scheme val="minor"/>
    </font>
    <font>
      <sz val="11"/>
      <name val="Calibri"/>
      <family val="2"/>
      <scheme val="minor"/>
    </font>
    <font>
      <sz val="8"/>
      <name val="Calibri"/>
      <family val="2"/>
      <scheme val="minor"/>
    </font>
    <font>
      <b/>
      <sz val="12"/>
      <name val="Calibri"/>
      <family val="2"/>
      <scheme val="minor"/>
    </font>
    <font>
      <b/>
      <i/>
      <sz val="11"/>
      <name val="Calibri"/>
      <family val="2"/>
      <scheme val="minor"/>
    </font>
    <font>
      <sz val="11"/>
      <color theme="0" tint="-0.499984740745262"/>
      <name val="Calibri"/>
      <family val="2"/>
      <scheme val="minor"/>
    </font>
    <font>
      <sz val="11"/>
      <color rgb="FFFF0000"/>
      <name val="Calibri"/>
      <family val="2"/>
      <scheme val="minor"/>
    </font>
    <font>
      <b/>
      <i/>
      <sz val="11"/>
      <color rgb="FFFF0000"/>
      <name val="Calibri"/>
      <family val="2"/>
      <scheme val="minor"/>
    </font>
    <font>
      <b/>
      <sz val="18"/>
      <color theme="1"/>
      <name val="Calibri"/>
      <family val="2"/>
      <scheme val="minor"/>
    </font>
    <font>
      <b/>
      <sz val="12"/>
      <color theme="1"/>
      <name val="Calibri"/>
      <family val="2"/>
      <scheme val="minor"/>
    </font>
    <font>
      <sz val="12"/>
      <name val="Calibri"/>
      <family val="2"/>
      <scheme val="minor"/>
    </font>
    <font>
      <sz val="12"/>
      <color theme="1"/>
      <name val="Calibri"/>
      <family val="2"/>
      <scheme val="minor"/>
    </font>
    <font>
      <b/>
      <i/>
      <sz val="12"/>
      <name val="Calibri"/>
      <family val="2"/>
      <scheme val="minor"/>
    </font>
    <font>
      <b/>
      <i/>
      <sz val="12"/>
      <color theme="1"/>
      <name val="Calibri"/>
      <family val="2"/>
      <scheme val="minor"/>
    </font>
    <font>
      <i/>
      <sz val="12"/>
      <color theme="1"/>
      <name val="Calibri"/>
      <family val="2"/>
      <scheme val="minor"/>
    </font>
    <font>
      <sz val="12"/>
      <color theme="0" tint="-0.499984740745262"/>
      <name val="Calibri"/>
      <family val="2"/>
      <scheme val="minor"/>
    </font>
    <font>
      <b/>
      <i/>
      <sz val="12"/>
      <color theme="0" tint="-0.499984740745262"/>
      <name val="Calibri"/>
      <family val="2"/>
      <scheme val="minor"/>
    </font>
    <font>
      <strike/>
      <sz val="12"/>
      <color theme="1"/>
      <name val="Calibri"/>
      <family val="2"/>
      <scheme val="minor"/>
    </font>
    <font>
      <strike/>
      <sz val="11"/>
      <color theme="1"/>
      <name val="Calibri"/>
      <family val="2"/>
      <scheme val="minor"/>
    </font>
    <font>
      <b/>
      <strike/>
      <sz val="11"/>
      <color theme="1"/>
      <name val="Calibri"/>
      <family val="2"/>
      <scheme val="minor"/>
    </font>
    <font>
      <strike/>
      <sz val="11"/>
      <color theme="0" tint="-0.499984740745262"/>
      <name val="Calibri"/>
      <family val="2"/>
      <scheme val="minor"/>
    </font>
    <font>
      <strike/>
      <sz val="11"/>
      <name val="Calibri"/>
      <family val="2"/>
      <scheme val="minor"/>
    </font>
    <font>
      <sz val="11"/>
      <color theme="1"/>
      <name val="Calibri"/>
      <family val="2"/>
      <scheme val="minor"/>
    </font>
    <font>
      <i/>
      <sz val="11"/>
      <name val="Calibri"/>
      <family val="2"/>
      <scheme val="minor"/>
    </font>
    <font>
      <b/>
      <sz val="11"/>
      <name val="Calibri"/>
      <family val="2"/>
      <scheme val="minor"/>
    </font>
    <font>
      <i/>
      <sz val="11"/>
      <color theme="1"/>
      <name val="Calibri"/>
      <family val="2"/>
      <scheme val="minor"/>
    </font>
    <font>
      <b/>
      <sz val="16"/>
      <color theme="1"/>
      <name val="Calibri"/>
      <family val="2"/>
      <scheme val="minor"/>
    </font>
    <font>
      <sz val="13"/>
      <color rgb="FF424242"/>
      <name val="Calibri"/>
      <family val="2"/>
      <scheme val="minor"/>
    </font>
    <font>
      <sz val="8.8000000000000007"/>
      <color theme="1"/>
      <name val="Calibri"/>
      <family val="2"/>
      <scheme val="minor"/>
    </font>
    <font>
      <b/>
      <i/>
      <sz val="11"/>
      <color theme="0"/>
      <name val="Calibri"/>
      <family val="2"/>
      <scheme val="minor"/>
    </font>
    <font>
      <i/>
      <sz val="11"/>
      <color theme="0" tint="-0.499984740745262"/>
      <name val="Calibri"/>
      <family val="2"/>
      <scheme val="minor"/>
    </font>
    <font>
      <b/>
      <sz val="11"/>
      <color theme="7"/>
      <name val="Calibri"/>
      <family val="2"/>
      <scheme val="minor"/>
    </font>
    <font>
      <sz val="11"/>
      <color rgb="FF00B050"/>
      <name val="Calibri"/>
      <family val="2"/>
      <scheme val="minor"/>
    </font>
    <font>
      <b/>
      <sz val="11"/>
      <color rgb="FF00B050"/>
      <name val="Calibri"/>
      <family val="2"/>
      <scheme val="minor"/>
    </font>
    <font>
      <u/>
      <sz val="11"/>
      <color theme="1"/>
      <name val="Calibri"/>
      <family val="2"/>
      <scheme val="minor"/>
    </font>
    <font>
      <sz val="12"/>
      <color theme="4"/>
      <name val="Calibri"/>
      <family val="2"/>
      <scheme val="minor"/>
    </font>
    <font>
      <b/>
      <i/>
      <sz val="18"/>
      <color theme="0"/>
      <name val="Calibri"/>
      <family val="2"/>
      <scheme val="minor"/>
    </font>
    <font>
      <b/>
      <i/>
      <sz val="16"/>
      <color theme="0"/>
      <name val="Calibri"/>
      <family val="2"/>
      <scheme val="minor"/>
    </font>
    <font>
      <b/>
      <i/>
      <sz val="16"/>
      <color theme="1"/>
      <name val="Calibri"/>
      <family val="2"/>
      <scheme val="minor"/>
    </font>
    <font>
      <b/>
      <i/>
      <sz val="16"/>
      <name val="Calibri"/>
      <family val="2"/>
      <scheme val="minor"/>
    </font>
    <font>
      <b/>
      <sz val="20"/>
      <color theme="0"/>
      <name val="Calibri"/>
      <family val="2"/>
      <scheme val="minor"/>
    </font>
    <font>
      <b/>
      <sz val="16"/>
      <color theme="9" tint="0.79998168889431442"/>
      <name val="Calibri"/>
      <family val="2"/>
      <scheme val="minor"/>
    </font>
    <font>
      <sz val="22"/>
      <color theme="0"/>
      <name val="Calibri"/>
      <family val="2"/>
      <scheme val="minor"/>
    </font>
    <font>
      <b/>
      <sz val="20"/>
      <color rgb="FFFF0000"/>
      <name val="Calibri"/>
      <family val="2"/>
    </font>
    <font>
      <sz val="12"/>
      <name val="Calibri"/>
      <family val="2"/>
    </font>
    <font>
      <sz val="12"/>
      <color rgb="FFFF0000"/>
      <name val="Calibri"/>
      <family val="2"/>
      <scheme val="minor"/>
    </font>
    <font>
      <vertAlign val="superscript"/>
      <sz val="11"/>
      <color theme="1"/>
      <name val="Calibri"/>
      <family val="2"/>
      <scheme val="minor"/>
    </font>
    <font>
      <b/>
      <vertAlign val="superscript"/>
      <sz val="18"/>
      <color theme="1"/>
      <name val="Calibri"/>
      <family val="2"/>
      <scheme val="minor"/>
    </font>
    <font>
      <vertAlign val="subscript"/>
      <sz val="11"/>
      <color theme="1"/>
      <name val="Calibri"/>
      <family val="2"/>
      <scheme val="minor"/>
    </font>
    <font>
      <b/>
      <vertAlign val="subscript"/>
      <sz val="11"/>
      <color theme="1"/>
      <name val="Calibri"/>
      <family val="2"/>
      <scheme val="minor"/>
    </font>
    <font>
      <b/>
      <vertAlign val="subscript"/>
      <sz val="18"/>
      <color theme="1"/>
      <name val="Calibri"/>
      <family val="2"/>
      <scheme val="minor"/>
    </font>
    <font>
      <vertAlign val="superscript"/>
      <sz val="12"/>
      <color theme="1"/>
      <name val="Calibri"/>
      <family val="2"/>
      <scheme val="minor"/>
    </font>
    <font>
      <vertAlign val="superscript"/>
      <sz val="12"/>
      <color theme="0" tint="-0.499984740745262"/>
      <name val="Calibri"/>
      <family val="2"/>
      <scheme val="minor"/>
    </font>
    <font>
      <vertAlign val="superscript"/>
      <sz val="12"/>
      <name val="Calibri"/>
      <family val="2"/>
      <scheme val="minor"/>
    </font>
    <font>
      <vertAlign val="superscript"/>
      <sz val="11"/>
      <name val="Calibri"/>
      <family val="2"/>
      <scheme val="minor"/>
    </font>
    <font>
      <b/>
      <sz val="12"/>
      <color rgb="FFFF0000"/>
      <name val="Calibri"/>
      <family val="2"/>
      <scheme val="minor"/>
    </font>
    <font>
      <b/>
      <i/>
      <sz val="12"/>
      <color rgb="FFFF0000"/>
      <name val="Calibri"/>
      <family val="2"/>
      <scheme val="minor"/>
    </font>
    <font>
      <b/>
      <sz val="8.8000000000000007"/>
      <color theme="1"/>
      <name val="Calibri"/>
      <family val="2"/>
      <scheme val="minor"/>
    </font>
    <font>
      <sz val="10"/>
      <color theme="1"/>
      <name val="Calibri"/>
      <family val="2"/>
    </font>
    <font>
      <b/>
      <u/>
      <sz val="11"/>
      <color theme="1"/>
      <name val="Calibri"/>
      <family val="2"/>
      <scheme val="minor"/>
    </font>
    <font>
      <i/>
      <sz val="10"/>
      <color theme="1"/>
      <name val="Calibri"/>
      <family val="2"/>
    </font>
  </fonts>
  <fills count="24">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7C80"/>
        <bgColor indexed="64"/>
      </patternFill>
    </fill>
    <fill>
      <patternFill patternType="solid">
        <fgColor rgb="FFFFCCCC"/>
        <bgColor indexed="64"/>
      </patternFill>
    </fill>
    <fill>
      <patternFill patternType="solid">
        <fgColor rgb="FFFF9999"/>
        <bgColor indexed="64"/>
      </patternFill>
    </fill>
    <fill>
      <patternFill patternType="solid">
        <fgColor theme="7"/>
        <bgColor indexed="64"/>
      </patternFill>
    </fill>
    <fill>
      <patternFill patternType="solid">
        <fgColor theme="7" tint="0.79998168889431442"/>
        <bgColor indexed="64"/>
      </patternFill>
    </fill>
    <fill>
      <patternFill patternType="solid">
        <fgColor rgb="FFFFFF00"/>
        <bgColor indexed="64"/>
      </patternFill>
    </fill>
    <fill>
      <patternFill patternType="solid">
        <fgColor theme="2"/>
        <bgColor indexed="64"/>
      </patternFill>
    </fill>
    <fill>
      <patternFill patternType="solid">
        <fgColor theme="4"/>
        <bgColor indexed="64"/>
      </patternFill>
    </fill>
    <fill>
      <patternFill patternType="solid">
        <fgColor theme="9"/>
        <bgColor indexed="64"/>
      </patternFill>
    </fill>
    <fill>
      <patternFill patternType="solid">
        <fgColor theme="8"/>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0" tint="-0.249977111117893"/>
        <bgColor indexed="64"/>
      </patternFill>
    </fill>
  </fills>
  <borders count="41">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right/>
      <top style="thin">
        <color auto="1"/>
      </top>
      <bottom style="thin">
        <color auto="1"/>
      </bottom>
      <diagonal/>
    </border>
    <border>
      <left/>
      <right/>
      <top/>
      <bottom style="hair">
        <color indexed="64"/>
      </bottom>
      <diagonal/>
    </border>
    <border>
      <left style="hair">
        <color indexed="64"/>
      </left>
      <right/>
      <top style="hair">
        <color indexed="64"/>
      </top>
      <bottom/>
      <diagonal/>
    </border>
    <border>
      <left style="hair">
        <color indexed="64"/>
      </left>
      <right/>
      <top/>
      <bottom/>
      <diagonal/>
    </border>
    <border>
      <left/>
      <right style="hair">
        <color indexed="64"/>
      </right>
      <top style="hair">
        <color indexed="64"/>
      </top>
      <bottom/>
      <diagonal/>
    </border>
    <border>
      <left/>
      <right style="hair">
        <color indexed="64"/>
      </right>
      <top/>
      <bottom/>
      <diagonal/>
    </border>
    <border>
      <left/>
      <right style="dotted">
        <color indexed="64"/>
      </right>
      <top/>
      <bottom/>
      <diagonal/>
    </border>
    <border>
      <left style="dotted">
        <color indexed="64"/>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s>
  <cellStyleXfs count="2">
    <xf numFmtId="0" fontId="0" fillId="0" borderId="0"/>
    <xf numFmtId="9" fontId="33" fillId="0" borderId="0" applyFont="0" applyFill="0" applyBorder="0" applyAlignment="0" applyProtection="0"/>
  </cellStyleXfs>
  <cellXfs count="640">
    <xf numFmtId="0" fontId="0" fillId="0" borderId="0" xfId="0"/>
    <xf numFmtId="0" fontId="0" fillId="2" borderId="0" xfId="0" applyFill="1"/>
    <xf numFmtId="0" fontId="2" fillId="2" borderId="0" xfId="0" applyFont="1" applyFill="1"/>
    <xf numFmtId="0" fontId="1" fillId="3" borderId="10" xfId="0" applyFont="1" applyFill="1" applyBorder="1"/>
    <xf numFmtId="0" fontId="1" fillId="3" borderId="2" xfId="0" applyFont="1" applyFill="1" applyBorder="1"/>
    <xf numFmtId="0" fontId="0" fillId="2" borderId="5" xfId="0" applyFill="1" applyBorder="1"/>
    <xf numFmtId="0" fontId="0" fillId="2" borderId="6" xfId="0" applyFill="1" applyBorder="1"/>
    <xf numFmtId="0" fontId="0" fillId="2" borderId="7" xfId="0" applyFill="1" applyBorder="1"/>
    <xf numFmtId="0" fontId="0" fillId="2" borderId="9" xfId="0" applyFill="1" applyBorder="1"/>
    <xf numFmtId="0" fontId="0" fillId="2" borderId="8" xfId="0" applyFill="1" applyBorder="1"/>
    <xf numFmtId="0" fontId="5" fillId="7" borderId="0" xfId="0" applyFont="1" applyFill="1"/>
    <xf numFmtId="0" fontId="0" fillId="9" borderId="19" xfId="0" applyFill="1" applyBorder="1"/>
    <xf numFmtId="0" fontId="0" fillId="9" borderId="4" xfId="0" applyFill="1" applyBorder="1"/>
    <xf numFmtId="0" fontId="0" fillId="10" borderId="3" xfId="0" applyFill="1" applyBorder="1"/>
    <xf numFmtId="0" fontId="0" fillId="10" borderId="19" xfId="0" applyFill="1" applyBorder="1"/>
    <xf numFmtId="0" fontId="0" fillId="10" borderId="4" xfId="0" applyFill="1" applyBorder="1"/>
    <xf numFmtId="0" fontId="0" fillId="10" borderId="5" xfId="0" applyFill="1" applyBorder="1"/>
    <xf numFmtId="0" fontId="0" fillId="10" borderId="0" xfId="0" applyFill="1"/>
    <xf numFmtId="0" fontId="0" fillId="10" borderId="6" xfId="0" applyFill="1" applyBorder="1"/>
    <xf numFmtId="0" fontId="0" fillId="10" borderId="7" xfId="0" applyFill="1" applyBorder="1"/>
    <xf numFmtId="0" fontId="0" fillId="10" borderId="9" xfId="0" applyFill="1" applyBorder="1"/>
    <xf numFmtId="0" fontId="0" fillId="10" borderId="8" xfId="0" applyFill="1" applyBorder="1"/>
    <xf numFmtId="0" fontId="5" fillId="2" borderId="0" xfId="0" applyFont="1" applyFill="1"/>
    <xf numFmtId="0" fontId="5" fillId="7" borderId="5" xfId="0" applyFont="1" applyFill="1" applyBorder="1"/>
    <xf numFmtId="0" fontId="5" fillId="7" borderId="6" xfId="0" applyFont="1" applyFill="1" applyBorder="1"/>
    <xf numFmtId="0" fontId="6" fillId="3" borderId="5" xfId="0" applyFont="1" applyFill="1" applyBorder="1"/>
    <xf numFmtId="0" fontId="6" fillId="3" borderId="0" xfId="0" applyFont="1" applyFill="1"/>
    <xf numFmtId="0" fontId="6" fillId="3" borderId="6" xfId="0" applyFont="1" applyFill="1" applyBorder="1"/>
    <xf numFmtId="0" fontId="5" fillId="11" borderId="5" xfId="0" applyFont="1" applyFill="1" applyBorder="1"/>
    <xf numFmtId="0" fontId="5" fillId="11" borderId="0" xfId="0" applyFont="1" applyFill="1"/>
    <xf numFmtId="0" fontId="5" fillId="11" borderId="6" xfId="0" applyFont="1" applyFill="1" applyBorder="1"/>
    <xf numFmtId="0" fontId="5" fillId="12" borderId="3" xfId="0" applyFont="1" applyFill="1" applyBorder="1"/>
    <xf numFmtId="0" fontId="5" fillId="12" borderId="19" xfId="0" applyFont="1" applyFill="1" applyBorder="1"/>
    <xf numFmtId="0" fontId="5" fillId="12" borderId="4" xfId="0" applyFont="1" applyFill="1" applyBorder="1"/>
    <xf numFmtId="0" fontId="5" fillId="13" borderId="3" xfId="0" applyFont="1" applyFill="1" applyBorder="1"/>
    <xf numFmtId="0" fontId="5" fillId="13" borderId="19" xfId="0" applyFont="1" applyFill="1" applyBorder="1"/>
    <xf numFmtId="0" fontId="5" fillId="13" borderId="4" xfId="0" applyFont="1" applyFill="1" applyBorder="1"/>
    <xf numFmtId="0" fontId="7" fillId="3" borderId="0" xfId="0" applyFont="1" applyFill="1"/>
    <xf numFmtId="0" fontId="7" fillId="11" borderId="0" xfId="0" applyFont="1" applyFill="1"/>
    <xf numFmtId="0" fontId="7" fillId="12" borderId="19" xfId="0" applyFont="1" applyFill="1" applyBorder="1"/>
    <xf numFmtId="0" fontId="7" fillId="13" borderId="19" xfId="0" applyFont="1" applyFill="1" applyBorder="1"/>
    <xf numFmtId="0" fontId="1" fillId="7" borderId="10" xfId="0" applyFont="1" applyFill="1" applyBorder="1"/>
    <xf numFmtId="0" fontId="8" fillId="7" borderId="1" xfId="0" applyFont="1" applyFill="1" applyBorder="1"/>
    <xf numFmtId="0" fontId="4" fillId="15" borderId="11" xfId="0" applyFont="1" applyFill="1" applyBorder="1"/>
    <xf numFmtId="0" fontId="1" fillId="12" borderId="10" xfId="0" applyFont="1" applyFill="1" applyBorder="1"/>
    <xf numFmtId="0" fontId="9" fillId="9" borderId="3" xfId="0" applyFont="1" applyFill="1" applyBorder="1"/>
    <xf numFmtId="0" fontId="10" fillId="9" borderId="19" xfId="0" applyFont="1" applyFill="1" applyBorder="1"/>
    <xf numFmtId="0" fontId="12" fillId="19" borderId="0" xfId="0" applyFont="1" applyFill="1"/>
    <xf numFmtId="49" fontId="14" fillId="19" borderId="0" xfId="0" applyNumberFormat="1" applyFont="1" applyFill="1"/>
    <xf numFmtId="0" fontId="15" fillId="19" borderId="0" xfId="0" applyFont="1" applyFill="1"/>
    <xf numFmtId="0" fontId="17" fillId="2" borderId="0" xfId="0" applyFont="1" applyFill="1"/>
    <xf numFmtId="49" fontId="21" fillId="19" borderId="0" xfId="0" applyNumberFormat="1" applyFont="1" applyFill="1"/>
    <xf numFmtId="0" fontId="22" fillId="19" borderId="0" xfId="0" applyFont="1" applyFill="1"/>
    <xf numFmtId="49" fontId="22" fillId="19" borderId="0" xfId="0" applyNumberFormat="1" applyFont="1" applyFill="1"/>
    <xf numFmtId="0" fontId="21" fillId="19" borderId="0" xfId="0" applyFont="1" applyFill="1"/>
    <xf numFmtId="0" fontId="14" fillId="19" borderId="0" xfId="0" applyFont="1" applyFill="1"/>
    <xf numFmtId="0" fontId="23" fillId="19" borderId="0" xfId="0" applyFont="1" applyFill="1"/>
    <xf numFmtId="165" fontId="21" fillId="19" borderId="0" xfId="0" applyNumberFormat="1" applyFont="1" applyFill="1"/>
    <xf numFmtId="166" fontId="21" fillId="19" borderId="0" xfId="0" applyNumberFormat="1" applyFont="1" applyFill="1"/>
    <xf numFmtId="1" fontId="21" fillId="19" borderId="0" xfId="0" applyNumberFormat="1" applyFont="1" applyFill="1"/>
    <xf numFmtId="0" fontId="20" fillId="19" borderId="0" xfId="0" applyFont="1" applyFill="1"/>
    <xf numFmtId="0" fontId="21" fillId="2" borderId="20" xfId="0" applyFont="1" applyFill="1" applyBorder="1"/>
    <xf numFmtId="0" fontId="24" fillId="19" borderId="0" xfId="0" applyFont="1" applyFill="1"/>
    <xf numFmtId="0" fontId="22" fillId="2" borderId="20" xfId="0" applyFont="1" applyFill="1" applyBorder="1"/>
    <xf numFmtId="0" fontId="22" fillId="2" borderId="0" xfId="0" applyFont="1" applyFill="1"/>
    <xf numFmtId="0" fontId="25" fillId="19" borderId="0" xfId="0" applyFont="1" applyFill="1"/>
    <xf numFmtId="166" fontId="22" fillId="19" borderId="0" xfId="0" applyNumberFormat="1" applyFont="1" applyFill="1"/>
    <xf numFmtId="9" fontId="22" fillId="19" borderId="0" xfId="0" applyNumberFormat="1" applyFont="1" applyFill="1"/>
    <xf numFmtId="164" fontId="22" fillId="19" borderId="0" xfId="0" applyNumberFormat="1" applyFont="1" applyFill="1"/>
    <xf numFmtId="0" fontId="26" fillId="19" borderId="0" xfId="0" applyFont="1" applyFill="1"/>
    <xf numFmtId="0" fontId="27" fillId="19" borderId="0" xfId="0" applyFont="1" applyFill="1"/>
    <xf numFmtId="166" fontId="26" fillId="19" borderId="0" xfId="0" applyNumberFormat="1" applyFont="1" applyFill="1"/>
    <xf numFmtId="9" fontId="26" fillId="19" borderId="0" xfId="0" applyNumberFormat="1" applyFont="1" applyFill="1"/>
    <xf numFmtId="164" fontId="26" fillId="19" borderId="0" xfId="0" applyNumberFormat="1" applyFont="1" applyFill="1"/>
    <xf numFmtId="9" fontId="21" fillId="19" borderId="0" xfId="0" applyNumberFormat="1" applyFont="1" applyFill="1"/>
    <xf numFmtId="0" fontId="22" fillId="19" borderId="0" xfId="0" applyFont="1" applyFill="1" applyAlignment="1">
      <alignment horizontal="left"/>
    </xf>
    <xf numFmtId="10" fontId="22" fillId="19" borderId="0" xfId="0" applyNumberFormat="1" applyFont="1" applyFill="1"/>
    <xf numFmtId="1" fontId="22" fillId="19" borderId="0" xfId="0" applyNumberFormat="1" applyFont="1" applyFill="1"/>
    <xf numFmtId="0" fontId="12" fillId="2" borderId="20" xfId="0" applyFont="1" applyFill="1" applyBorder="1" applyAlignment="1">
      <alignment horizontal="left"/>
    </xf>
    <xf numFmtId="49" fontId="22" fillId="2" borderId="0" xfId="0" applyNumberFormat="1" applyFont="1" applyFill="1"/>
    <xf numFmtId="1" fontId="22" fillId="2" borderId="0" xfId="0" applyNumberFormat="1" applyFont="1" applyFill="1"/>
    <xf numFmtId="49" fontId="21" fillId="19" borderId="0" xfId="0" applyNumberFormat="1" applyFont="1" applyFill="1" applyAlignment="1">
      <alignment horizontal="right"/>
    </xf>
    <xf numFmtId="0" fontId="12" fillId="20" borderId="0" xfId="0" applyFont="1" applyFill="1"/>
    <xf numFmtId="0" fontId="12" fillId="20" borderId="0" xfId="0" applyFont="1" applyFill="1" applyAlignment="1">
      <alignment horizontal="left"/>
    </xf>
    <xf numFmtId="0" fontId="3" fillId="21" borderId="1" xfId="0" applyFont="1" applyFill="1" applyBorder="1"/>
    <xf numFmtId="0" fontId="1" fillId="21" borderId="10" xfId="0" applyFont="1" applyFill="1" applyBorder="1"/>
    <xf numFmtId="0" fontId="1" fillId="21" borderId="2" xfId="0" applyFont="1" applyFill="1" applyBorder="1"/>
    <xf numFmtId="49" fontId="21" fillId="2" borderId="0" xfId="0" applyNumberFormat="1" applyFont="1" applyFill="1"/>
    <xf numFmtId="0" fontId="24" fillId="2" borderId="0" xfId="0" applyFont="1" applyFill="1"/>
    <xf numFmtId="0" fontId="0" fillId="5" borderId="14" xfId="0" applyFill="1" applyBorder="1"/>
    <xf numFmtId="0" fontId="12" fillId="19" borderId="5" xfId="0" applyFont="1" applyFill="1" applyBorder="1"/>
    <xf numFmtId="0" fontId="12" fillId="19" borderId="6" xfId="0" applyFont="1" applyFill="1" applyBorder="1"/>
    <xf numFmtId="0" fontId="12" fillId="19" borderId="7" xfId="0" applyFont="1" applyFill="1" applyBorder="1"/>
    <xf numFmtId="0" fontId="12" fillId="19" borderId="9" xfId="0" applyFont="1" applyFill="1" applyBorder="1"/>
    <xf numFmtId="0" fontId="0" fillId="14" borderId="5" xfId="0" applyFill="1" applyBorder="1"/>
    <xf numFmtId="0" fontId="0" fillId="14" borderId="0" xfId="0" applyFill="1"/>
    <xf numFmtId="0" fontId="0" fillId="14" borderId="6" xfId="0" applyFill="1" applyBorder="1"/>
    <xf numFmtId="0" fontId="0" fillId="15" borderId="12" xfId="0" applyFill="1" applyBorder="1"/>
    <xf numFmtId="0" fontId="0" fillId="15" borderId="13" xfId="0" applyFill="1" applyBorder="1"/>
    <xf numFmtId="0" fontId="0" fillId="8" borderId="14" xfId="0" applyFill="1" applyBorder="1"/>
    <xf numFmtId="0" fontId="0" fillId="8" borderId="0" xfId="0" applyFill="1"/>
    <xf numFmtId="0" fontId="0" fillId="8" borderId="15" xfId="0" applyFill="1" applyBorder="1"/>
    <xf numFmtId="0" fontId="0" fillId="8" borderId="16" xfId="0" applyFill="1" applyBorder="1"/>
    <xf numFmtId="0" fontId="0" fillId="8" borderId="17" xfId="0" applyFill="1" applyBorder="1"/>
    <xf numFmtId="0" fontId="0" fillId="8" borderId="18" xfId="0" applyFill="1" applyBorder="1"/>
    <xf numFmtId="0" fontId="0" fillId="14" borderId="7" xfId="0" applyFill="1" applyBorder="1"/>
    <xf numFmtId="0" fontId="0" fillId="14" borderId="9" xfId="0" applyFill="1" applyBorder="1"/>
    <xf numFmtId="0" fontId="0" fillId="14" borderId="8" xfId="0" applyFill="1" applyBorder="1"/>
    <xf numFmtId="0" fontId="0" fillId="6" borderId="5" xfId="0" applyFill="1" applyBorder="1"/>
    <xf numFmtId="0" fontId="0" fillId="6" borderId="0" xfId="0" applyFill="1"/>
    <xf numFmtId="0" fontId="0" fillId="6" borderId="6" xfId="0" applyFill="1" applyBorder="1"/>
    <xf numFmtId="0" fontId="0" fillId="4" borderId="12" xfId="0" applyFill="1" applyBorder="1"/>
    <xf numFmtId="0" fontId="0" fillId="4" borderId="13" xfId="0" applyFill="1" applyBorder="1"/>
    <xf numFmtId="0" fontId="0" fillId="5" borderId="0" xfId="0" applyFill="1"/>
    <xf numFmtId="0" fontId="0" fillId="5" borderId="15" xfId="0" applyFill="1" applyBorder="1"/>
    <xf numFmtId="0" fontId="0" fillId="2" borderId="20" xfId="0" applyFill="1" applyBorder="1"/>
    <xf numFmtId="0" fontId="0" fillId="5" borderId="16" xfId="0" applyFill="1" applyBorder="1"/>
    <xf numFmtId="0" fontId="0" fillId="5" borderId="17" xfId="0" applyFill="1" applyBorder="1"/>
    <xf numFmtId="0" fontId="0" fillId="5" borderId="18" xfId="0" applyFill="1" applyBorder="1"/>
    <xf numFmtId="49" fontId="0" fillId="5" borderId="0" xfId="0" applyNumberFormat="1" applyFill="1" applyAlignment="1">
      <alignment horizontal="right"/>
    </xf>
    <xf numFmtId="0" fontId="0" fillId="6" borderId="7" xfId="0" applyFill="1" applyBorder="1"/>
    <xf numFmtId="0" fontId="0" fillId="6" borderId="9" xfId="0" applyFill="1" applyBorder="1"/>
    <xf numFmtId="0" fontId="0" fillId="6" borderId="8" xfId="0" applyFill="1" applyBorder="1"/>
    <xf numFmtId="0" fontId="0" fillId="16" borderId="5" xfId="0" applyFill="1" applyBorder="1"/>
    <xf numFmtId="0" fontId="0" fillId="16" borderId="0" xfId="0" applyFill="1"/>
    <xf numFmtId="0" fontId="0" fillId="16" borderId="6" xfId="0" applyFill="1" applyBorder="1"/>
    <xf numFmtId="0" fontId="0" fillId="18" borderId="0" xfId="0" applyFill="1"/>
    <xf numFmtId="0" fontId="0" fillId="16" borderId="7" xfId="0" applyFill="1" applyBorder="1"/>
    <xf numFmtId="0" fontId="0" fillId="16" borderId="9" xfId="0" applyFill="1" applyBorder="1"/>
    <xf numFmtId="0" fontId="0" fillId="16" borderId="8" xfId="0" applyFill="1" applyBorder="1"/>
    <xf numFmtId="0" fontId="0" fillId="19" borderId="0" xfId="0" applyFill="1"/>
    <xf numFmtId="0" fontId="0" fillId="2" borderId="0" xfId="0" applyFill="1" applyAlignment="1">
      <alignment horizontal="center"/>
    </xf>
    <xf numFmtId="1" fontId="0" fillId="2" borderId="0" xfId="0" applyNumberFormat="1" applyFill="1"/>
    <xf numFmtId="49" fontId="0" fillId="2" borderId="0" xfId="0" applyNumberFormat="1" applyFill="1"/>
    <xf numFmtId="0" fontId="38" fillId="0" borderId="0" xfId="0" applyFont="1"/>
    <xf numFmtId="2" fontId="0" fillId="2" borderId="0" xfId="0" applyNumberFormat="1" applyFill="1"/>
    <xf numFmtId="0" fontId="3" fillId="19" borderId="5" xfId="0" applyFont="1" applyFill="1" applyBorder="1"/>
    <xf numFmtId="0" fontId="1" fillId="19" borderId="0" xfId="0" applyFont="1" applyFill="1"/>
    <xf numFmtId="0" fontId="0" fillId="19" borderId="5" xfId="0" applyFill="1" applyBorder="1"/>
    <xf numFmtId="0" fontId="40" fillId="21" borderId="11" xfId="0" applyFont="1" applyFill="1" applyBorder="1"/>
    <xf numFmtId="0" fontId="40" fillId="21" borderId="12" xfId="0" applyFont="1" applyFill="1" applyBorder="1"/>
    <xf numFmtId="0" fontId="40" fillId="21" borderId="13" xfId="0" applyFont="1" applyFill="1" applyBorder="1"/>
    <xf numFmtId="0" fontId="40" fillId="21" borderId="14" xfId="0" applyFont="1" applyFill="1" applyBorder="1"/>
    <xf numFmtId="0" fontId="12" fillId="20" borderId="14" xfId="0" applyFont="1" applyFill="1" applyBorder="1"/>
    <xf numFmtId="0" fontId="12" fillId="20" borderId="0" xfId="0" applyFont="1" applyFill="1" applyAlignment="1">
      <alignment vertical="center" wrapText="1"/>
    </xf>
    <xf numFmtId="0" fontId="12" fillId="20" borderId="15" xfId="0" applyFont="1" applyFill="1" applyBorder="1" applyAlignment="1">
      <alignment vertical="center" wrapText="1"/>
    </xf>
    <xf numFmtId="0" fontId="34" fillId="20" borderId="0" xfId="0" applyFont="1" applyFill="1" applyAlignment="1">
      <alignment vertical="center" wrapText="1"/>
    </xf>
    <xf numFmtId="0" fontId="34" fillId="20" borderId="15" xfId="0" applyFont="1" applyFill="1" applyBorder="1" applyAlignment="1">
      <alignment vertical="center" wrapText="1"/>
    </xf>
    <xf numFmtId="0" fontId="12" fillId="20" borderId="16" xfId="0" applyFont="1" applyFill="1" applyBorder="1"/>
    <xf numFmtId="0" fontId="12" fillId="20" borderId="15" xfId="0" applyFont="1" applyFill="1" applyBorder="1"/>
    <xf numFmtId="0" fontId="12" fillId="20" borderId="17" xfId="0" applyFont="1" applyFill="1" applyBorder="1"/>
    <xf numFmtId="0" fontId="12" fillId="20" borderId="18" xfId="0" applyFont="1" applyFill="1" applyBorder="1"/>
    <xf numFmtId="0" fontId="0" fillId="19" borderId="3" xfId="0" applyFill="1" applyBorder="1"/>
    <xf numFmtId="0" fontId="0" fillId="19" borderId="19" xfId="0" applyFill="1" applyBorder="1"/>
    <xf numFmtId="0" fontId="0" fillId="19" borderId="4" xfId="0" applyFill="1" applyBorder="1"/>
    <xf numFmtId="0" fontId="0" fillId="19" borderId="6" xfId="0" applyFill="1" applyBorder="1"/>
    <xf numFmtId="0" fontId="29" fillId="19" borderId="6" xfId="0" applyFont="1" applyFill="1" applyBorder="1"/>
    <xf numFmtId="0" fontId="30" fillId="19" borderId="6" xfId="0" applyFont="1" applyFill="1" applyBorder="1"/>
    <xf numFmtId="9" fontId="29" fillId="19" borderId="6" xfId="0" applyNumberFormat="1" applyFont="1" applyFill="1" applyBorder="1"/>
    <xf numFmtId="9" fontId="31" fillId="19" borderId="6" xfId="0" applyNumberFormat="1" applyFont="1" applyFill="1" applyBorder="1"/>
    <xf numFmtId="9" fontId="32" fillId="19" borderId="6" xfId="0" applyNumberFormat="1" applyFont="1" applyFill="1" applyBorder="1"/>
    <xf numFmtId="1" fontId="26" fillId="19" borderId="0" xfId="0" applyNumberFormat="1" applyFont="1" applyFill="1"/>
    <xf numFmtId="0" fontId="22" fillId="19" borderId="5" xfId="0" applyFont="1" applyFill="1" applyBorder="1"/>
    <xf numFmtId="0" fontId="28" fillId="19" borderId="6" xfId="0" applyFont="1" applyFill="1" applyBorder="1"/>
    <xf numFmtId="0" fontId="0" fillId="19" borderId="7" xfId="0" applyFill="1" applyBorder="1"/>
    <xf numFmtId="0" fontId="15" fillId="19" borderId="9" xfId="0" applyFont="1" applyFill="1" applyBorder="1"/>
    <xf numFmtId="0" fontId="0" fillId="19" borderId="9" xfId="0" applyFill="1" applyBorder="1"/>
    <xf numFmtId="0" fontId="0" fillId="19" borderId="8" xfId="0" applyFill="1" applyBorder="1"/>
    <xf numFmtId="0" fontId="0" fillId="19" borderId="12" xfId="0" applyFill="1" applyBorder="1"/>
    <xf numFmtId="0" fontId="0" fillId="19" borderId="25" xfId="0" applyFill="1" applyBorder="1"/>
    <xf numFmtId="0" fontId="0" fillId="20" borderId="14" xfId="0" applyFill="1" applyBorder="1" applyAlignment="1">
      <alignment horizontal="left"/>
    </xf>
    <xf numFmtId="0" fontId="0" fillId="20" borderId="0" xfId="0" applyFill="1"/>
    <xf numFmtId="0" fontId="0" fillId="20" borderId="15" xfId="0" applyFill="1" applyBorder="1"/>
    <xf numFmtId="0" fontId="0" fillId="20" borderId="14" xfId="0" applyFill="1" applyBorder="1"/>
    <xf numFmtId="0" fontId="1" fillId="21" borderId="12" xfId="0" applyFont="1" applyFill="1" applyBorder="1"/>
    <xf numFmtId="0" fontId="1" fillId="21" borderId="13" xfId="0" applyFont="1" applyFill="1" applyBorder="1"/>
    <xf numFmtId="0" fontId="40" fillId="21" borderId="0" xfId="0" applyFont="1" applyFill="1"/>
    <xf numFmtId="0" fontId="0" fillId="20" borderId="20" xfId="0" applyFill="1" applyBorder="1"/>
    <xf numFmtId="0" fontId="0" fillId="20" borderId="16" xfId="0" applyFill="1" applyBorder="1"/>
    <xf numFmtId="0" fontId="0" fillId="20" borderId="17" xfId="0" applyFill="1" applyBorder="1"/>
    <xf numFmtId="0" fontId="0" fillId="20" borderId="18" xfId="0" applyFill="1" applyBorder="1"/>
    <xf numFmtId="49" fontId="0" fillId="20" borderId="0" xfId="0" applyNumberFormat="1" applyFill="1" applyAlignment="1">
      <alignment horizontal="right"/>
    </xf>
    <xf numFmtId="0" fontId="0" fillId="20" borderId="0" xfId="0" applyFill="1" applyAlignment="1">
      <alignment horizontal="right"/>
    </xf>
    <xf numFmtId="0" fontId="0" fillId="20" borderId="17" xfId="0" applyFill="1" applyBorder="1" applyAlignment="1">
      <alignment horizontal="right"/>
    </xf>
    <xf numFmtId="0" fontId="4" fillId="20" borderId="14" xfId="0" applyFont="1" applyFill="1" applyBorder="1"/>
    <xf numFmtId="11" fontId="0" fillId="2" borderId="0" xfId="0" applyNumberFormat="1" applyFill="1"/>
    <xf numFmtId="11" fontId="1" fillId="21" borderId="10" xfId="0" applyNumberFormat="1" applyFont="1" applyFill="1" applyBorder="1"/>
    <xf numFmtId="11" fontId="0" fillId="19" borderId="0" xfId="0" applyNumberFormat="1" applyFill="1"/>
    <xf numFmtId="11" fontId="1" fillId="21" borderId="12" xfId="0" applyNumberFormat="1" applyFont="1" applyFill="1" applyBorder="1"/>
    <xf numFmtId="11" fontId="0" fillId="20" borderId="0" xfId="0" applyNumberFormat="1" applyFill="1"/>
    <xf numFmtId="11" fontId="0" fillId="20" borderId="17" xfId="0" applyNumberFormat="1" applyFill="1" applyBorder="1"/>
    <xf numFmtId="11" fontId="0" fillId="19" borderId="9" xfId="0" applyNumberFormat="1" applyFill="1" applyBorder="1"/>
    <xf numFmtId="0" fontId="41" fillId="5" borderId="14" xfId="0" applyFont="1" applyFill="1" applyBorder="1"/>
    <xf numFmtId="0" fontId="42" fillId="5" borderId="16" xfId="0" applyFont="1" applyFill="1" applyBorder="1"/>
    <xf numFmtId="0" fontId="41" fillId="5" borderId="17" xfId="0" applyFont="1" applyFill="1" applyBorder="1"/>
    <xf numFmtId="0" fontId="15" fillId="4" borderId="12" xfId="0" applyFont="1" applyFill="1" applyBorder="1"/>
    <xf numFmtId="0" fontId="15" fillId="4" borderId="13" xfId="0" applyFont="1" applyFill="1" applyBorder="1"/>
    <xf numFmtId="0" fontId="40" fillId="21" borderId="15" xfId="0" applyFont="1" applyFill="1" applyBorder="1"/>
    <xf numFmtId="0" fontId="40" fillId="21" borderId="0" xfId="0" applyFont="1" applyFill="1" applyAlignment="1">
      <alignment wrapText="1"/>
    </xf>
    <xf numFmtId="0" fontId="40" fillId="21" borderId="15" xfId="0" applyFont="1" applyFill="1" applyBorder="1" applyAlignment="1">
      <alignment wrapText="1"/>
    </xf>
    <xf numFmtId="0" fontId="40" fillId="21" borderId="12" xfId="0" applyFont="1" applyFill="1" applyBorder="1" applyAlignment="1">
      <alignment horizontal="left"/>
    </xf>
    <xf numFmtId="0" fontId="12" fillId="21" borderId="13" xfId="0" applyFont="1" applyFill="1" applyBorder="1"/>
    <xf numFmtId="167" fontId="12" fillId="19" borderId="0" xfId="0" applyNumberFormat="1" applyFont="1" applyFill="1"/>
    <xf numFmtId="1" fontId="0" fillId="20" borderId="20" xfId="0" applyNumberFormat="1" applyFill="1" applyBorder="1"/>
    <xf numFmtId="10" fontId="12" fillId="19" borderId="0" xfId="0" applyNumberFormat="1" applyFont="1" applyFill="1"/>
    <xf numFmtId="1" fontId="0" fillId="20" borderId="0" xfId="0" applyNumberFormat="1" applyFill="1"/>
    <xf numFmtId="0" fontId="0" fillId="21" borderId="10" xfId="0" applyFill="1" applyBorder="1"/>
    <xf numFmtId="0" fontId="0" fillId="21" borderId="2" xfId="0" applyFill="1" applyBorder="1"/>
    <xf numFmtId="0" fontId="3" fillId="21" borderId="10" xfId="0" applyFont="1" applyFill="1" applyBorder="1"/>
    <xf numFmtId="0" fontId="12" fillId="21" borderId="11" xfId="0" applyFont="1" applyFill="1" applyBorder="1"/>
    <xf numFmtId="0" fontId="12" fillId="21" borderId="16" xfId="0" applyFont="1" applyFill="1" applyBorder="1"/>
    <xf numFmtId="0" fontId="12" fillId="17" borderId="23" xfId="0" applyFont="1" applyFill="1" applyBorder="1"/>
    <xf numFmtId="0" fontId="21" fillId="19" borderId="9" xfId="0" applyFont="1" applyFill="1" applyBorder="1"/>
    <xf numFmtId="0" fontId="40" fillId="21" borderId="12" xfId="0" applyFont="1" applyFill="1" applyBorder="1" applyAlignment="1">
      <alignment vertical="center" wrapText="1"/>
    </xf>
    <xf numFmtId="0" fontId="40" fillId="21" borderId="13" xfId="0" applyFont="1" applyFill="1" applyBorder="1" applyAlignment="1">
      <alignment vertical="center" wrapText="1"/>
    </xf>
    <xf numFmtId="0" fontId="40" fillId="21" borderId="17" xfId="0" applyFont="1" applyFill="1" applyBorder="1" applyAlignment="1">
      <alignment wrapText="1"/>
    </xf>
    <xf numFmtId="0" fontId="40" fillId="21" borderId="18" xfId="0" applyFont="1" applyFill="1" applyBorder="1" applyAlignment="1">
      <alignment wrapText="1"/>
    </xf>
    <xf numFmtId="0" fontId="16" fillId="20" borderId="0" xfId="0" applyFont="1" applyFill="1" applyAlignment="1">
      <alignment vertical="center" wrapText="1"/>
    </xf>
    <xf numFmtId="10" fontId="41" fillId="20" borderId="0" xfId="1" applyNumberFormat="1" applyFont="1" applyFill="1" applyBorder="1" applyAlignment="1">
      <alignment vertical="center" wrapText="1"/>
    </xf>
    <xf numFmtId="9" fontId="41" fillId="20" borderId="0" xfId="1" applyFont="1" applyFill="1" applyBorder="1" applyAlignment="1">
      <alignment vertical="center" wrapText="1"/>
    </xf>
    <xf numFmtId="9" fontId="16" fillId="20" borderId="0" xfId="1" applyFont="1" applyFill="1" applyBorder="1" applyAlignment="1">
      <alignment vertical="center" wrapText="1"/>
    </xf>
    <xf numFmtId="9" fontId="16" fillId="20" borderId="15" xfId="1" applyFont="1" applyFill="1" applyBorder="1" applyAlignment="1">
      <alignment vertical="center" wrapText="1"/>
    </xf>
    <xf numFmtId="0" fontId="16" fillId="20" borderId="17" xfId="0" applyFont="1" applyFill="1" applyBorder="1" applyAlignment="1">
      <alignment vertical="center" wrapText="1"/>
    </xf>
    <xf numFmtId="9" fontId="16" fillId="20" borderId="17" xfId="1" applyFont="1" applyFill="1" applyBorder="1" applyAlignment="1">
      <alignment vertical="center" wrapText="1"/>
    </xf>
    <xf numFmtId="9" fontId="16" fillId="20" borderId="18" xfId="1" applyFont="1" applyFill="1" applyBorder="1" applyAlignment="1">
      <alignment vertical="center" wrapText="1"/>
    </xf>
    <xf numFmtId="0" fontId="12" fillId="20" borderId="25" xfId="0" applyFont="1" applyFill="1" applyBorder="1" applyAlignment="1">
      <alignment vertical="center" wrapText="1"/>
    </xf>
    <xf numFmtId="9" fontId="12" fillId="20" borderId="25" xfId="1" applyFont="1" applyFill="1" applyBorder="1" applyAlignment="1">
      <alignment vertical="center" wrapText="1"/>
    </xf>
    <xf numFmtId="9" fontId="12" fillId="20" borderId="21" xfId="1" applyFont="1" applyFill="1" applyBorder="1" applyAlignment="1">
      <alignment vertical="center" wrapText="1"/>
    </xf>
    <xf numFmtId="0" fontId="12" fillId="20" borderId="17" xfId="0" applyFont="1" applyFill="1" applyBorder="1" applyAlignment="1">
      <alignment vertical="center" wrapText="1"/>
    </xf>
    <xf numFmtId="10" fontId="12" fillId="20" borderId="17" xfId="1" applyNumberFormat="1" applyFont="1" applyFill="1" applyBorder="1" applyAlignment="1">
      <alignment vertical="center" wrapText="1"/>
    </xf>
    <xf numFmtId="9" fontId="12" fillId="20" borderId="17" xfId="1" applyFont="1" applyFill="1" applyBorder="1" applyAlignment="1">
      <alignment vertical="center" wrapText="1"/>
    </xf>
    <xf numFmtId="9" fontId="12" fillId="20" borderId="18" xfId="1" applyFont="1" applyFill="1" applyBorder="1" applyAlignment="1">
      <alignment vertical="center" wrapText="1"/>
    </xf>
    <xf numFmtId="0" fontId="16" fillId="19" borderId="9" xfId="0" applyFont="1" applyFill="1" applyBorder="1"/>
    <xf numFmtId="0" fontId="41" fillId="5" borderId="18" xfId="0" applyFont="1" applyFill="1" applyBorder="1"/>
    <xf numFmtId="0" fontId="22" fillId="19" borderId="9" xfId="0" applyFont="1" applyFill="1" applyBorder="1"/>
    <xf numFmtId="0" fontId="24" fillId="19" borderId="9" xfId="0" applyFont="1" applyFill="1" applyBorder="1"/>
    <xf numFmtId="9" fontId="22" fillId="19" borderId="9" xfId="0" applyNumberFormat="1" applyFont="1" applyFill="1" applyBorder="1"/>
    <xf numFmtId="9" fontId="0" fillId="2" borderId="0" xfId="1" applyFont="1" applyFill="1"/>
    <xf numFmtId="168" fontId="0" fillId="2" borderId="0" xfId="0" applyNumberFormat="1" applyFill="1"/>
    <xf numFmtId="0" fontId="42" fillId="6" borderId="9" xfId="0" applyFont="1" applyFill="1" applyBorder="1"/>
    <xf numFmtId="0" fontId="41" fillId="6" borderId="9" xfId="0" applyFont="1" applyFill="1" applyBorder="1"/>
    <xf numFmtId="9" fontId="26" fillId="19" borderId="9" xfId="0" applyNumberFormat="1" applyFont="1" applyFill="1" applyBorder="1"/>
    <xf numFmtId="9" fontId="22" fillId="19" borderId="0" xfId="1" applyFont="1" applyFill="1" applyBorder="1"/>
    <xf numFmtId="164" fontId="26" fillId="19" borderId="0" xfId="1" applyNumberFormat="1" applyFont="1" applyFill="1" applyBorder="1"/>
    <xf numFmtId="164" fontId="22" fillId="19" borderId="0" xfId="1" applyNumberFormat="1" applyFont="1" applyFill="1" applyBorder="1"/>
    <xf numFmtId="0" fontId="23" fillId="19" borderId="9" xfId="0" applyFont="1" applyFill="1" applyBorder="1"/>
    <xf numFmtId="9" fontId="22" fillId="19" borderId="9" xfId="1" applyFont="1" applyFill="1" applyBorder="1"/>
    <xf numFmtId="0" fontId="21" fillId="19" borderId="0" xfId="0" applyFont="1" applyFill="1" applyAlignment="1">
      <alignment horizontal="center"/>
    </xf>
    <xf numFmtId="9" fontId="0" fillId="19" borderId="0" xfId="0" applyNumberFormat="1" applyFill="1"/>
    <xf numFmtId="1" fontId="0" fillId="19" borderId="0" xfId="0" applyNumberFormat="1" applyFill="1"/>
    <xf numFmtId="0" fontId="20" fillId="19" borderId="26" xfId="0" applyFont="1" applyFill="1" applyBorder="1" applyAlignment="1">
      <alignment horizontal="center"/>
    </xf>
    <xf numFmtId="0" fontId="0" fillId="19" borderId="26" xfId="0" applyFill="1" applyBorder="1"/>
    <xf numFmtId="0" fontId="0" fillId="19" borderId="27" xfId="0" applyFill="1" applyBorder="1"/>
    <xf numFmtId="0" fontId="0" fillId="19" borderId="28" xfId="0" applyFill="1" applyBorder="1"/>
    <xf numFmtId="0" fontId="0" fillId="19" borderId="30" xfId="0" applyFill="1" applyBorder="1"/>
    <xf numFmtId="9" fontId="0" fillId="19" borderId="29" xfId="0" applyNumberFormat="1" applyFill="1" applyBorder="1"/>
    <xf numFmtId="164" fontId="0" fillId="19" borderId="0" xfId="0" applyNumberFormat="1" applyFill="1"/>
    <xf numFmtId="1" fontId="0" fillId="19" borderId="28" xfId="0" applyNumberFormat="1" applyFill="1" applyBorder="1"/>
    <xf numFmtId="9" fontId="0" fillId="19" borderId="30" xfId="0" applyNumberFormat="1" applyFill="1" applyBorder="1"/>
    <xf numFmtId="164" fontId="0" fillId="19" borderId="30" xfId="0" applyNumberFormat="1" applyFill="1" applyBorder="1"/>
    <xf numFmtId="2" fontId="0" fillId="19" borderId="0" xfId="0" applyNumberFormat="1" applyFill="1"/>
    <xf numFmtId="164" fontId="0" fillId="19" borderId="0" xfId="1" applyNumberFormat="1" applyFont="1" applyFill="1" applyBorder="1"/>
    <xf numFmtId="9" fontId="22" fillId="19" borderId="26" xfId="1" applyFont="1" applyFill="1" applyBorder="1"/>
    <xf numFmtId="0" fontId="0" fillId="18" borderId="3" xfId="0" applyFill="1" applyBorder="1"/>
    <xf numFmtId="0" fontId="0" fillId="18" borderId="19" xfId="0" applyFill="1" applyBorder="1"/>
    <xf numFmtId="0" fontId="0" fillId="18" borderId="4" xfId="0" applyFill="1" applyBorder="1"/>
    <xf numFmtId="0" fontId="0" fillId="18" borderId="5" xfId="0" applyFill="1" applyBorder="1"/>
    <xf numFmtId="0" fontId="19" fillId="18" borderId="0" xfId="0" applyFont="1" applyFill="1"/>
    <xf numFmtId="0" fontId="0" fillId="18" borderId="6" xfId="0" applyFill="1" applyBorder="1"/>
    <xf numFmtId="167" fontId="12" fillId="18" borderId="0" xfId="0" applyNumberFormat="1" applyFont="1" applyFill="1"/>
    <xf numFmtId="1" fontId="0" fillId="18" borderId="0" xfId="0" applyNumberFormat="1" applyFill="1"/>
    <xf numFmtId="0" fontId="0" fillId="18" borderId="7" xfId="0" applyFill="1" applyBorder="1"/>
    <xf numFmtId="0" fontId="0" fillId="18" borderId="9" xfId="0" applyFill="1" applyBorder="1"/>
    <xf numFmtId="0" fontId="0" fillId="18" borderId="8" xfId="0" applyFill="1" applyBorder="1"/>
    <xf numFmtId="9" fontId="0" fillId="18" borderId="0" xfId="0" applyNumberFormat="1" applyFill="1" applyAlignment="1">
      <alignment horizontal="left"/>
    </xf>
    <xf numFmtId="164" fontId="0" fillId="18" borderId="0" xfId="0" applyNumberFormat="1" applyFill="1" applyAlignment="1">
      <alignment horizontal="left"/>
    </xf>
    <xf numFmtId="0" fontId="20" fillId="18" borderId="0" xfId="0" applyFont="1" applyFill="1" applyAlignment="1">
      <alignment horizontal="center"/>
    </xf>
    <xf numFmtId="164" fontId="0" fillId="18" borderId="31" xfId="0" applyNumberFormat="1" applyFill="1" applyBorder="1" applyAlignment="1">
      <alignment horizontal="left"/>
    </xf>
    <xf numFmtId="9" fontId="0" fillId="18" borderId="6" xfId="0" applyNumberFormat="1" applyFill="1" applyBorder="1"/>
    <xf numFmtId="1" fontId="0" fillId="18" borderId="9" xfId="0" applyNumberFormat="1" applyFill="1" applyBorder="1"/>
    <xf numFmtId="164" fontId="0" fillId="18" borderId="9" xfId="0" applyNumberFormat="1" applyFill="1" applyBorder="1"/>
    <xf numFmtId="0" fontId="4" fillId="18" borderId="5" xfId="0" applyFont="1" applyFill="1" applyBorder="1"/>
    <xf numFmtId="0" fontId="20" fillId="18" borderId="33" xfId="0" applyFont="1" applyFill="1" applyBorder="1"/>
    <xf numFmtId="0" fontId="0" fillId="18" borderId="33" xfId="0" applyFill="1" applyBorder="1"/>
    <xf numFmtId="0" fontId="20" fillId="18" borderId="33" xfId="0" applyFont="1" applyFill="1" applyBorder="1" applyAlignment="1">
      <alignment horizontal="center"/>
    </xf>
    <xf numFmtId="1" fontId="0" fillId="18" borderId="33" xfId="0" applyNumberFormat="1" applyFill="1" applyBorder="1"/>
    <xf numFmtId="164" fontId="0" fillId="18" borderId="33" xfId="0" applyNumberFormat="1" applyFill="1" applyBorder="1" applyAlignment="1">
      <alignment horizontal="left"/>
    </xf>
    <xf numFmtId="0" fontId="0" fillId="18" borderId="34" xfId="0" applyFill="1" applyBorder="1"/>
    <xf numFmtId="1" fontId="0" fillId="18" borderId="34" xfId="0" applyNumberFormat="1" applyFill="1" applyBorder="1"/>
    <xf numFmtId="9" fontId="0" fillId="18" borderId="34" xfId="0" applyNumberFormat="1" applyFill="1" applyBorder="1" applyAlignment="1">
      <alignment horizontal="left"/>
    </xf>
    <xf numFmtId="0" fontId="0" fillId="19" borderId="17" xfId="0" applyFill="1" applyBorder="1"/>
    <xf numFmtId="0" fontId="0" fillId="20" borderId="33" xfId="0" applyFill="1" applyBorder="1"/>
    <xf numFmtId="0" fontId="0" fillId="21" borderId="12" xfId="0" applyFill="1" applyBorder="1"/>
    <xf numFmtId="0" fontId="0" fillId="21" borderId="13" xfId="0" applyFill="1" applyBorder="1"/>
    <xf numFmtId="11" fontId="40" fillId="21" borderId="12" xfId="0" applyNumberFormat="1" applyFont="1" applyFill="1" applyBorder="1"/>
    <xf numFmtId="0" fontId="4" fillId="21" borderId="12" xfId="0" applyFont="1" applyFill="1" applyBorder="1"/>
    <xf numFmtId="0" fontId="4" fillId="21" borderId="13" xfId="0" applyFont="1" applyFill="1" applyBorder="1"/>
    <xf numFmtId="0" fontId="0" fillId="20" borderId="11" xfId="0" applyFill="1" applyBorder="1"/>
    <xf numFmtId="0" fontId="0" fillId="20" borderId="12" xfId="0" applyFill="1" applyBorder="1"/>
    <xf numFmtId="0" fontId="15" fillId="20" borderId="0" xfId="0" applyFont="1" applyFill="1"/>
    <xf numFmtId="0" fontId="40" fillId="19" borderId="5" xfId="0" applyFont="1" applyFill="1" applyBorder="1"/>
    <xf numFmtId="0" fontId="20" fillId="20" borderId="33" xfId="0" applyFont="1" applyFill="1" applyBorder="1"/>
    <xf numFmtId="0" fontId="20" fillId="20" borderId="33" xfId="0" applyFont="1" applyFill="1" applyBorder="1" applyAlignment="1">
      <alignment horizontal="center"/>
    </xf>
    <xf numFmtId="167" fontId="12" fillId="20" borderId="0" xfId="0" applyNumberFormat="1" applyFont="1" applyFill="1"/>
    <xf numFmtId="9" fontId="0" fillId="20" borderId="0" xfId="0" applyNumberFormat="1" applyFill="1" applyAlignment="1">
      <alignment horizontal="left"/>
    </xf>
    <xf numFmtId="1" fontId="0" fillId="20" borderId="33" xfId="0" applyNumberFormat="1" applyFill="1" applyBorder="1"/>
    <xf numFmtId="0" fontId="0" fillId="20" borderId="34" xfId="0" applyFill="1" applyBorder="1"/>
    <xf numFmtId="1" fontId="0" fillId="20" borderId="34" xfId="0" applyNumberFormat="1" applyFill="1" applyBorder="1"/>
    <xf numFmtId="9" fontId="0" fillId="20" borderId="34" xfId="0" applyNumberFormat="1" applyFill="1" applyBorder="1" applyAlignment="1">
      <alignment horizontal="left"/>
    </xf>
    <xf numFmtId="164" fontId="0" fillId="20" borderId="0" xfId="0" applyNumberFormat="1" applyFill="1"/>
    <xf numFmtId="164" fontId="0" fillId="20" borderId="33" xfId="0" applyNumberFormat="1" applyFill="1" applyBorder="1"/>
    <xf numFmtId="9" fontId="16" fillId="20" borderId="12" xfId="1" applyFont="1" applyFill="1" applyBorder="1" applyAlignment="1">
      <alignment vertical="center" wrapText="1"/>
    </xf>
    <xf numFmtId="1" fontId="0" fillId="2" borderId="0" xfId="0" applyNumberFormat="1" applyFill="1" applyAlignment="1">
      <alignment horizontal="right"/>
    </xf>
    <xf numFmtId="10" fontId="0" fillId="2" borderId="0" xfId="0" applyNumberFormat="1" applyFill="1"/>
    <xf numFmtId="164" fontId="0" fillId="2" borderId="0" xfId="0" applyNumberFormat="1" applyFill="1"/>
    <xf numFmtId="164" fontId="0" fillId="20" borderId="34" xfId="0" applyNumberFormat="1" applyFill="1" applyBorder="1"/>
    <xf numFmtId="0" fontId="0" fillId="20" borderId="0" xfId="0" applyFill="1" applyAlignment="1">
      <alignment horizontal="left"/>
    </xf>
    <xf numFmtId="1" fontId="0" fillId="20" borderId="22" xfId="0" applyNumberFormat="1" applyFill="1" applyBorder="1"/>
    <xf numFmtId="0" fontId="15" fillId="21" borderId="12" xfId="0" applyFont="1" applyFill="1" applyBorder="1"/>
    <xf numFmtId="0" fontId="12" fillId="21" borderId="12" xfId="0" applyFont="1" applyFill="1" applyBorder="1"/>
    <xf numFmtId="0" fontId="35" fillId="20" borderId="0" xfId="0" applyFont="1" applyFill="1"/>
    <xf numFmtId="0" fontId="22" fillId="20" borderId="0" xfId="0" applyFont="1" applyFill="1" applyAlignment="1">
      <alignment horizontal="left"/>
    </xf>
    <xf numFmtId="0" fontId="16" fillId="20" borderId="0" xfId="0" applyFont="1" applyFill="1"/>
    <xf numFmtId="0" fontId="18" fillId="20" borderId="0" xfId="0" applyFont="1" applyFill="1"/>
    <xf numFmtId="0" fontId="17" fillId="20" borderId="0" xfId="0" applyFont="1" applyFill="1"/>
    <xf numFmtId="0" fontId="22" fillId="20" borderId="0" xfId="0" applyFont="1" applyFill="1"/>
    <xf numFmtId="167" fontId="35" fillId="20" borderId="0" xfId="0" applyNumberFormat="1" applyFont="1" applyFill="1"/>
    <xf numFmtId="1" fontId="12" fillId="20" borderId="0" xfId="0" applyNumberFormat="1" applyFont="1" applyFill="1"/>
    <xf numFmtId="9" fontId="33" fillId="20" borderId="0" xfId="1" applyFont="1" applyFill="1" applyBorder="1"/>
    <xf numFmtId="9" fontId="12" fillId="20" borderId="0" xfId="1" applyFont="1" applyFill="1" applyBorder="1" applyAlignment="1">
      <alignment horizontal="left"/>
    </xf>
    <xf numFmtId="0" fontId="35" fillId="20" borderId="33" xfId="0" applyFont="1" applyFill="1" applyBorder="1"/>
    <xf numFmtId="0" fontId="12" fillId="20" borderId="33" xfId="0" applyFont="1" applyFill="1" applyBorder="1"/>
    <xf numFmtId="9" fontId="12" fillId="20" borderId="33" xfId="1" applyFont="1" applyFill="1" applyBorder="1"/>
    <xf numFmtId="9" fontId="12" fillId="20" borderId="0" xfId="1" applyFont="1" applyFill="1" applyBorder="1"/>
    <xf numFmtId="1" fontId="12" fillId="20" borderId="0" xfId="1" applyNumberFormat="1" applyFont="1" applyFill="1" applyBorder="1" applyAlignment="1">
      <alignment horizontal="right"/>
    </xf>
    <xf numFmtId="1" fontId="12" fillId="20" borderId="0" xfId="0" applyNumberFormat="1" applyFont="1" applyFill="1" applyAlignment="1">
      <alignment horizontal="left"/>
    </xf>
    <xf numFmtId="168" fontId="0" fillId="20" borderId="17" xfId="0" applyNumberFormat="1" applyFill="1" applyBorder="1" applyAlignment="1">
      <alignment horizontal="left"/>
    </xf>
    <xf numFmtId="168" fontId="0" fillId="20" borderId="0" xfId="0" applyNumberFormat="1" applyFill="1" applyAlignment="1">
      <alignment horizontal="left"/>
    </xf>
    <xf numFmtId="168" fontId="0" fillId="19" borderId="0" xfId="0" applyNumberFormat="1" applyFill="1" applyAlignment="1">
      <alignment horizontal="left"/>
    </xf>
    <xf numFmtId="168" fontId="0" fillId="21" borderId="12" xfId="0" applyNumberFormat="1" applyFill="1" applyBorder="1" applyAlignment="1">
      <alignment horizontal="left"/>
    </xf>
    <xf numFmtId="0" fontId="20" fillId="18" borderId="5" xfId="0" applyFont="1" applyFill="1" applyBorder="1"/>
    <xf numFmtId="0" fontId="11" fillId="20" borderId="14" xfId="0" applyFont="1" applyFill="1" applyBorder="1"/>
    <xf numFmtId="0" fontId="40" fillId="20" borderId="14" xfId="0" applyFont="1" applyFill="1" applyBorder="1"/>
    <xf numFmtId="0" fontId="11" fillId="20" borderId="35" xfId="0" applyFont="1" applyFill="1" applyBorder="1"/>
    <xf numFmtId="168" fontId="11" fillId="20" borderId="33" xfId="0" applyNumberFormat="1" applyFont="1" applyFill="1" applyBorder="1" applyAlignment="1">
      <alignment horizontal="left"/>
    </xf>
    <xf numFmtId="0" fontId="11" fillId="20" borderId="33" xfId="0" applyFont="1" applyFill="1" applyBorder="1"/>
    <xf numFmtId="0" fontId="11" fillId="20" borderId="36" xfId="0" applyFont="1" applyFill="1" applyBorder="1"/>
    <xf numFmtId="0" fontId="0" fillId="20" borderId="24" xfId="0" applyFill="1" applyBorder="1"/>
    <xf numFmtId="168" fontId="0" fillId="20" borderId="15" xfId="0" applyNumberFormat="1" applyFill="1" applyBorder="1" applyAlignment="1">
      <alignment horizontal="left"/>
    </xf>
    <xf numFmtId="168" fontId="0" fillId="20" borderId="18" xfId="0" applyNumberFormat="1" applyFill="1" applyBorder="1" applyAlignment="1">
      <alignment horizontal="left"/>
    </xf>
    <xf numFmtId="0" fontId="11" fillId="20" borderId="14" xfId="0" applyFont="1" applyFill="1" applyBorder="1" applyAlignment="1">
      <alignment horizontal="right"/>
    </xf>
    <xf numFmtId="0" fontId="11" fillId="20" borderId="15" xfId="0" applyFont="1" applyFill="1" applyBorder="1"/>
    <xf numFmtId="169" fontId="11" fillId="20" borderId="0" xfId="0" applyNumberFormat="1" applyFont="1" applyFill="1" applyAlignment="1">
      <alignment horizontal="left"/>
    </xf>
    <xf numFmtId="169" fontId="11" fillId="20" borderId="15" xfId="0" applyNumberFormat="1" applyFont="1" applyFill="1" applyBorder="1" applyAlignment="1">
      <alignment horizontal="left"/>
    </xf>
    <xf numFmtId="0" fontId="0" fillId="18" borderId="32" xfId="0" applyFill="1" applyBorder="1" applyAlignment="1">
      <alignment horizontal="left"/>
    </xf>
    <xf numFmtId="168" fontId="0" fillId="18" borderId="0" xfId="0" applyNumberFormat="1" applyFill="1" applyAlignment="1">
      <alignment horizontal="left"/>
    </xf>
    <xf numFmtId="0" fontId="11" fillId="18" borderId="0" xfId="0" applyFont="1" applyFill="1"/>
    <xf numFmtId="168" fontId="11" fillId="18" borderId="0" xfId="0" applyNumberFormat="1" applyFont="1" applyFill="1" applyAlignment="1">
      <alignment horizontal="left"/>
    </xf>
    <xf numFmtId="0" fontId="20" fillId="18" borderId="33" xfId="0" applyFont="1" applyFill="1" applyBorder="1" applyAlignment="1">
      <alignment horizontal="left"/>
    </xf>
    <xf numFmtId="1" fontId="0" fillId="18" borderId="32" xfId="0" applyNumberFormat="1" applyFill="1" applyBorder="1" applyAlignment="1">
      <alignment horizontal="left"/>
    </xf>
    <xf numFmtId="1" fontId="0" fillId="18" borderId="0" xfId="0" applyNumberFormat="1" applyFill="1" applyAlignment="1">
      <alignment horizontal="left"/>
    </xf>
    <xf numFmtId="1" fontId="0" fillId="20" borderId="37" xfId="0" applyNumberFormat="1" applyFill="1" applyBorder="1"/>
    <xf numFmtId="1" fontId="0" fillId="20" borderId="38" xfId="0" applyNumberFormat="1" applyFill="1" applyBorder="1"/>
    <xf numFmtId="0" fontId="11" fillId="20" borderId="0" xfId="0" applyFont="1" applyFill="1"/>
    <xf numFmtId="11" fontId="11" fillId="20" borderId="0" xfId="0" applyNumberFormat="1" applyFont="1" applyFill="1"/>
    <xf numFmtId="11" fontId="0" fillId="18" borderId="0" xfId="0" applyNumberFormat="1" applyFill="1"/>
    <xf numFmtId="0" fontId="20" fillId="18" borderId="0" xfId="0" applyFont="1" applyFill="1" applyAlignment="1">
      <alignment horizontal="left"/>
    </xf>
    <xf numFmtId="0" fontId="0" fillId="12" borderId="19" xfId="0" applyFill="1" applyBorder="1"/>
    <xf numFmtId="0" fontId="0" fillId="12" borderId="4" xfId="0" applyFill="1" applyBorder="1"/>
    <xf numFmtId="0" fontId="0" fillId="12" borderId="10" xfId="0" applyFill="1" applyBorder="1"/>
    <xf numFmtId="0" fontId="0" fillId="12" borderId="2" xfId="0" applyFill="1" applyBorder="1"/>
    <xf numFmtId="0" fontId="37" fillId="18" borderId="0" xfId="0" applyFont="1" applyFill="1" applyAlignment="1">
      <alignment horizontal="left"/>
    </xf>
    <xf numFmtId="0" fontId="37" fillId="18" borderId="0" xfId="0" applyFont="1" applyFill="1" applyAlignment="1">
      <alignment horizontal="center"/>
    </xf>
    <xf numFmtId="168" fontId="12" fillId="20" borderId="39" xfId="0" applyNumberFormat="1" applyFont="1" applyFill="1" applyBorder="1" applyAlignment="1">
      <alignment horizontal="left"/>
    </xf>
    <xf numFmtId="9" fontId="0" fillId="20" borderId="39" xfId="0" applyNumberFormat="1" applyFill="1" applyBorder="1" applyAlignment="1">
      <alignment horizontal="left"/>
    </xf>
    <xf numFmtId="168" fontId="12" fillId="20" borderId="20" xfId="0" applyNumberFormat="1" applyFont="1" applyFill="1" applyBorder="1" applyAlignment="1">
      <alignment horizontal="left"/>
    </xf>
    <xf numFmtId="168" fontId="0" fillId="20" borderId="20" xfId="0" applyNumberFormat="1" applyFill="1" applyBorder="1" applyAlignment="1">
      <alignment horizontal="left"/>
    </xf>
    <xf numFmtId="0" fontId="11" fillId="18" borderId="0" xfId="0" applyFont="1" applyFill="1" applyAlignment="1">
      <alignment horizontal="left"/>
    </xf>
    <xf numFmtId="168" fontId="0" fillId="16" borderId="9" xfId="0" applyNumberFormat="1" applyFill="1" applyBorder="1"/>
    <xf numFmtId="0" fontId="0" fillId="22" borderId="0" xfId="0" applyFill="1"/>
    <xf numFmtId="168" fontId="12" fillId="22" borderId="0" xfId="0" applyNumberFormat="1" applyFont="1" applyFill="1" applyAlignment="1">
      <alignment horizontal="left"/>
    </xf>
    <xf numFmtId="9" fontId="0" fillId="22" borderId="0" xfId="0" applyNumberFormat="1" applyFill="1" applyAlignment="1">
      <alignment horizontal="left"/>
    </xf>
    <xf numFmtId="168" fontId="0" fillId="22" borderId="0" xfId="0" applyNumberFormat="1" applyFill="1" applyAlignment="1">
      <alignment horizontal="left"/>
    </xf>
    <xf numFmtId="0" fontId="1" fillId="2" borderId="0" xfId="0" applyFont="1" applyFill="1"/>
    <xf numFmtId="0" fontId="12" fillId="22" borderId="14" xfId="0" applyFont="1" applyFill="1" applyBorder="1"/>
    <xf numFmtId="0" fontId="0" fillId="22" borderId="14" xfId="0" applyFill="1" applyBorder="1"/>
    <xf numFmtId="0" fontId="0" fillId="22" borderId="15" xfId="0" applyFill="1" applyBorder="1"/>
    <xf numFmtId="0" fontId="0" fillId="22" borderId="17" xfId="0" applyFill="1" applyBorder="1"/>
    <xf numFmtId="0" fontId="0" fillId="22" borderId="18" xfId="0" applyFill="1" applyBorder="1"/>
    <xf numFmtId="0" fontId="4" fillId="19" borderId="17" xfId="0" applyFont="1" applyFill="1" applyBorder="1"/>
    <xf numFmtId="0" fontId="0" fillId="19" borderId="21" xfId="0" applyFill="1" applyBorder="1"/>
    <xf numFmtId="0" fontId="0" fillId="19" borderId="15" xfId="0" applyFill="1" applyBorder="1"/>
    <xf numFmtId="0" fontId="0" fillId="19" borderId="6" xfId="0" applyFill="1" applyBorder="1" applyAlignment="1">
      <alignment horizontal="left"/>
    </xf>
    <xf numFmtId="2" fontId="22" fillId="19" borderId="0" xfId="0" applyNumberFormat="1" applyFont="1" applyFill="1"/>
    <xf numFmtId="2" fontId="26" fillId="19" borderId="0" xfId="0" applyNumberFormat="1" applyFont="1" applyFill="1"/>
    <xf numFmtId="2" fontId="46" fillId="19" borderId="0" xfId="0" applyNumberFormat="1" applyFont="1" applyFill="1"/>
    <xf numFmtId="0" fontId="46" fillId="19" borderId="0" xfId="0" applyFont="1" applyFill="1"/>
    <xf numFmtId="0" fontId="0" fillId="19" borderId="5" xfId="0" applyFill="1" applyBorder="1" applyAlignment="1">
      <alignment horizontal="center"/>
    </xf>
    <xf numFmtId="9" fontId="26" fillId="19" borderId="0" xfId="1" applyFont="1" applyFill="1" applyBorder="1"/>
    <xf numFmtId="10" fontId="0" fillId="18" borderId="0" xfId="0" applyNumberFormat="1" applyFill="1"/>
    <xf numFmtId="10" fontId="11" fillId="18" borderId="0" xfId="0" applyNumberFormat="1" applyFont="1" applyFill="1"/>
    <xf numFmtId="164" fontId="11" fillId="18" borderId="0" xfId="0" applyNumberFormat="1" applyFont="1" applyFill="1"/>
    <xf numFmtId="9" fontId="11" fillId="18" borderId="0" xfId="0" applyNumberFormat="1" applyFont="1" applyFill="1"/>
    <xf numFmtId="0" fontId="0" fillId="16" borderId="10" xfId="0" applyFill="1" applyBorder="1"/>
    <xf numFmtId="168" fontId="11" fillId="18" borderId="0" xfId="0" applyNumberFormat="1" applyFont="1" applyFill="1" applyAlignment="1">
      <alignment horizontal="center"/>
    </xf>
    <xf numFmtId="0" fontId="12" fillId="22" borderId="0" xfId="0" applyFont="1" applyFill="1"/>
    <xf numFmtId="0" fontId="0" fillId="22" borderId="0" xfId="0" applyFill="1" applyAlignment="1">
      <alignment horizontal="left"/>
    </xf>
    <xf numFmtId="164" fontId="0" fillId="18" borderId="0" xfId="0" applyNumberFormat="1" applyFill="1"/>
    <xf numFmtId="0" fontId="0" fillId="22" borderId="16" xfId="0" applyFill="1" applyBorder="1"/>
    <xf numFmtId="0" fontId="4" fillId="4" borderId="12" xfId="0" applyFont="1" applyFill="1" applyBorder="1"/>
    <xf numFmtId="0" fontId="42" fillId="5" borderId="17" xfId="0" applyFont="1" applyFill="1" applyBorder="1"/>
    <xf numFmtId="0" fontId="47" fillId="13" borderId="12" xfId="0" applyFont="1" applyFill="1" applyBorder="1"/>
    <xf numFmtId="0" fontId="36" fillId="13" borderId="13" xfId="0" applyFont="1" applyFill="1" applyBorder="1"/>
    <xf numFmtId="0" fontId="48" fillId="13" borderId="0" xfId="0" applyFont="1" applyFill="1"/>
    <xf numFmtId="0" fontId="48" fillId="13" borderId="0" xfId="0" applyFont="1" applyFill="1" applyAlignment="1">
      <alignment horizontal="left"/>
    </xf>
    <xf numFmtId="0" fontId="48" fillId="13" borderId="11" xfId="0" applyFont="1" applyFill="1" applyBorder="1"/>
    <xf numFmtId="0" fontId="40" fillId="13" borderId="14" xfId="0" applyFont="1" applyFill="1" applyBorder="1"/>
    <xf numFmtId="0" fontId="40" fillId="13" borderId="0" xfId="0" applyFont="1" applyFill="1" applyAlignment="1">
      <alignment horizontal="left"/>
    </xf>
    <xf numFmtId="0" fontId="40" fillId="13" borderId="15" xfId="0" applyFont="1" applyFill="1" applyBorder="1"/>
    <xf numFmtId="0" fontId="49" fillId="12" borderId="3" xfId="0" applyFont="1" applyFill="1" applyBorder="1"/>
    <xf numFmtId="0" fontId="49" fillId="4" borderId="11" xfId="0" applyFont="1" applyFill="1" applyBorder="1"/>
    <xf numFmtId="0" fontId="50" fillId="4" borderId="12" xfId="0" applyFont="1" applyFill="1" applyBorder="1"/>
    <xf numFmtId="0" fontId="50" fillId="4" borderId="12" xfId="0" applyFont="1" applyFill="1" applyBorder="1" applyAlignment="1">
      <alignment horizontal="right"/>
    </xf>
    <xf numFmtId="0" fontId="51" fillId="3" borderId="1" xfId="0" applyFont="1" applyFill="1" applyBorder="1"/>
    <xf numFmtId="0" fontId="51" fillId="12" borderId="1" xfId="0" applyFont="1" applyFill="1" applyBorder="1"/>
    <xf numFmtId="0" fontId="51" fillId="12" borderId="3" xfId="0" applyFont="1" applyFill="1" applyBorder="1"/>
    <xf numFmtId="2" fontId="0" fillId="18" borderId="0" xfId="0" applyNumberFormat="1" applyFill="1" applyAlignment="1">
      <alignment horizontal="left"/>
    </xf>
    <xf numFmtId="2" fontId="0" fillId="18" borderId="0" xfId="0" applyNumberFormat="1" applyFill="1"/>
    <xf numFmtId="2" fontId="11" fillId="18" borderId="0" xfId="0" applyNumberFormat="1" applyFont="1" applyFill="1" applyAlignment="1">
      <alignment horizontal="left"/>
    </xf>
    <xf numFmtId="2" fontId="11" fillId="18" borderId="0" xfId="0" applyNumberFormat="1" applyFont="1" applyFill="1"/>
    <xf numFmtId="1" fontId="11" fillId="18" borderId="0" xfId="0" applyNumberFormat="1" applyFont="1" applyFill="1"/>
    <xf numFmtId="0" fontId="0" fillId="16" borderId="0" xfId="0" applyFill="1" applyAlignment="1">
      <alignment vertical="top" wrapText="1"/>
    </xf>
    <xf numFmtId="169" fontId="11" fillId="18" borderId="0" xfId="0" applyNumberFormat="1" applyFont="1" applyFill="1"/>
    <xf numFmtId="0" fontId="11" fillId="18" borderId="40" xfId="0" applyFont="1" applyFill="1" applyBorder="1"/>
    <xf numFmtId="0" fontId="0" fillId="18" borderId="17" xfId="0" applyFill="1" applyBorder="1"/>
    <xf numFmtId="0" fontId="11" fillId="18" borderId="17" xfId="0" applyFont="1" applyFill="1" applyBorder="1"/>
    <xf numFmtId="169" fontId="11" fillId="18" borderId="0" xfId="0" applyNumberFormat="1" applyFont="1" applyFill="1" applyAlignment="1">
      <alignment horizontal="right"/>
    </xf>
    <xf numFmtId="164" fontId="11" fillId="18" borderId="0" xfId="0" applyNumberFormat="1" applyFont="1" applyFill="1" applyAlignment="1">
      <alignment horizontal="right"/>
    </xf>
    <xf numFmtId="1" fontId="11" fillId="18" borderId="0" xfId="0" applyNumberFormat="1" applyFont="1" applyFill="1" applyAlignment="1">
      <alignment horizontal="right"/>
    </xf>
    <xf numFmtId="164" fontId="11" fillId="18" borderId="9" xfId="0" applyNumberFormat="1" applyFont="1" applyFill="1" applyBorder="1" applyAlignment="1">
      <alignment horizontal="right"/>
    </xf>
    <xf numFmtId="168" fontId="11" fillId="18" borderId="0" xfId="0" applyNumberFormat="1" applyFont="1" applyFill="1" applyAlignment="1">
      <alignment horizontal="right"/>
    </xf>
    <xf numFmtId="0" fontId="4" fillId="12" borderId="3" xfId="0" applyFont="1" applyFill="1" applyBorder="1" applyAlignment="1">
      <alignment vertical="top"/>
    </xf>
    <xf numFmtId="0" fontId="40" fillId="21" borderId="23" xfId="0" applyFont="1" applyFill="1" applyBorder="1"/>
    <xf numFmtId="0" fontId="40" fillId="21" borderId="25" xfId="0" applyFont="1" applyFill="1" applyBorder="1"/>
    <xf numFmtId="0" fontId="40" fillId="21" borderId="21" xfId="0" applyFont="1" applyFill="1" applyBorder="1"/>
    <xf numFmtId="168" fontId="0" fillId="20" borderId="14" xfId="0" applyNumberFormat="1" applyFill="1" applyBorder="1"/>
    <xf numFmtId="168" fontId="0" fillId="20" borderId="0" xfId="0" applyNumberFormat="1" applyFill="1"/>
    <xf numFmtId="169" fontId="0" fillId="20" borderId="0" xfId="0" applyNumberFormat="1" applyFill="1" applyAlignment="1">
      <alignment horizontal="left"/>
    </xf>
    <xf numFmtId="164" fontId="0" fillId="18" borderId="8" xfId="0" applyNumberFormat="1" applyFill="1" applyBorder="1"/>
    <xf numFmtId="0" fontId="52" fillId="12" borderId="19" xfId="0" applyFont="1" applyFill="1" applyBorder="1"/>
    <xf numFmtId="0" fontId="52" fillId="12" borderId="4" xfId="0" applyFont="1" applyFill="1" applyBorder="1"/>
    <xf numFmtId="0" fontId="12" fillId="18" borderId="0" xfId="0" applyFont="1" applyFill="1"/>
    <xf numFmtId="169" fontId="35" fillId="18" borderId="0" xfId="0" applyNumberFormat="1" applyFont="1" applyFill="1"/>
    <xf numFmtId="164" fontId="35" fillId="18" borderId="0" xfId="0" applyNumberFormat="1" applyFont="1" applyFill="1"/>
    <xf numFmtId="0" fontId="12" fillId="18" borderId="5" xfId="0" applyFont="1" applyFill="1" applyBorder="1"/>
    <xf numFmtId="0" fontId="12" fillId="18" borderId="6" xfId="0" applyFont="1" applyFill="1" applyBorder="1"/>
    <xf numFmtId="0" fontId="12" fillId="18" borderId="7" xfId="0" applyFont="1" applyFill="1" applyBorder="1"/>
    <xf numFmtId="0" fontId="12" fillId="18" borderId="9" xfId="0" applyFont="1" applyFill="1" applyBorder="1"/>
    <xf numFmtId="0" fontId="12" fillId="18" borderId="8" xfId="0" applyFont="1" applyFill="1" applyBorder="1"/>
    <xf numFmtId="164" fontId="35" fillId="18" borderId="17" xfId="0" applyNumberFormat="1" applyFont="1" applyFill="1" applyBorder="1"/>
    <xf numFmtId="0" fontId="35" fillId="18" borderId="40" xfId="0" applyFont="1" applyFill="1" applyBorder="1"/>
    <xf numFmtId="0" fontId="35" fillId="18" borderId="17" xfId="0" applyFont="1" applyFill="1" applyBorder="1"/>
    <xf numFmtId="164" fontId="0" fillId="18" borderId="6" xfId="0" applyNumberFormat="1" applyFill="1" applyBorder="1"/>
    <xf numFmtId="0" fontId="50" fillId="12" borderId="3" xfId="0" applyFont="1" applyFill="1" applyBorder="1"/>
    <xf numFmtId="1" fontId="35" fillId="18" borderId="0" xfId="0" applyNumberFormat="1" applyFont="1" applyFill="1"/>
    <xf numFmtId="9" fontId="11" fillId="18" borderId="9" xfId="0" applyNumberFormat="1" applyFont="1" applyFill="1" applyBorder="1"/>
    <xf numFmtId="164" fontId="35" fillId="18" borderId="9" xfId="0" applyNumberFormat="1" applyFont="1" applyFill="1" applyBorder="1"/>
    <xf numFmtId="164" fontId="11" fillId="18" borderId="9" xfId="0" applyNumberFormat="1" applyFont="1" applyFill="1" applyBorder="1"/>
    <xf numFmtId="0" fontId="53" fillId="2" borderId="0" xfId="0" applyFont="1" applyFill="1" applyAlignment="1">
      <alignment vertical="center"/>
    </xf>
    <xf numFmtId="2" fontId="0" fillId="20" borderId="0" xfId="0" applyNumberFormat="1" applyFill="1"/>
    <xf numFmtId="166" fontId="21" fillId="19" borderId="9" xfId="0" applyNumberFormat="1" applyFont="1" applyFill="1" applyBorder="1"/>
    <xf numFmtId="0" fontId="22" fillId="19" borderId="0" xfId="0" applyFont="1" applyFill="1" applyAlignment="1">
      <alignment horizontal="right"/>
    </xf>
    <xf numFmtId="2" fontId="21" fillId="19" borderId="9" xfId="0" applyNumberFormat="1" applyFont="1" applyFill="1" applyBorder="1"/>
    <xf numFmtId="0" fontId="21" fillId="19" borderId="17" xfId="0" applyFont="1" applyFill="1" applyBorder="1"/>
    <xf numFmtId="0" fontId="23" fillId="19" borderId="17" xfId="0" applyFont="1" applyFill="1" applyBorder="1"/>
    <xf numFmtId="1" fontId="21" fillId="19" borderId="17" xfId="0" applyNumberFormat="1" applyFont="1" applyFill="1" applyBorder="1"/>
    <xf numFmtId="9" fontId="21" fillId="19" borderId="17" xfId="1" applyFont="1" applyFill="1" applyBorder="1"/>
    <xf numFmtId="0" fontId="21" fillId="19" borderId="26" xfId="0" applyFont="1" applyFill="1" applyBorder="1"/>
    <xf numFmtId="0" fontId="23" fillId="19" borderId="26" xfId="0" applyFont="1" applyFill="1" applyBorder="1"/>
    <xf numFmtId="1" fontId="21" fillId="19" borderId="26" xfId="0" applyNumberFormat="1" applyFont="1" applyFill="1" applyBorder="1"/>
    <xf numFmtId="164" fontId="21" fillId="19" borderId="26" xfId="1" applyNumberFormat="1" applyFont="1" applyFill="1" applyBorder="1"/>
    <xf numFmtId="10" fontId="11" fillId="18" borderId="0" xfId="0" applyNumberFormat="1" applyFont="1" applyFill="1" applyAlignment="1">
      <alignment horizontal="right"/>
    </xf>
    <xf numFmtId="0" fontId="4" fillId="12" borderId="3" xfId="0" applyFont="1" applyFill="1" applyBorder="1"/>
    <xf numFmtId="164" fontId="0" fillId="18" borderId="6" xfId="0" applyNumberFormat="1" applyFill="1" applyBorder="1" applyAlignment="1">
      <alignment horizontal="left"/>
    </xf>
    <xf numFmtId="2" fontId="56" fillId="19" borderId="0" xfId="0" applyNumberFormat="1" applyFont="1" applyFill="1"/>
    <xf numFmtId="0" fontId="56" fillId="19" borderId="0" xfId="0" applyFont="1" applyFill="1"/>
    <xf numFmtId="2" fontId="46" fillId="19" borderId="0" xfId="0" applyNumberFormat="1" applyFont="1" applyFill="1" applyAlignment="1">
      <alignment wrapText="1"/>
    </xf>
    <xf numFmtId="2" fontId="46" fillId="19" borderId="6" xfId="0" applyNumberFormat="1" applyFont="1" applyFill="1" applyBorder="1" applyAlignment="1">
      <alignment wrapText="1"/>
    </xf>
    <xf numFmtId="0" fontId="36" fillId="18" borderId="7" xfId="0" applyFont="1" applyFill="1" applyBorder="1"/>
    <xf numFmtId="0" fontId="34" fillId="18" borderId="5" xfId="0" applyFont="1" applyFill="1" applyBorder="1"/>
    <xf numFmtId="0" fontId="36" fillId="18" borderId="5" xfId="0" applyFont="1" applyFill="1" applyBorder="1"/>
    <xf numFmtId="0" fontId="41" fillId="5" borderId="17" xfId="0" applyFont="1" applyFill="1" applyBorder="1" applyAlignment="1">
      <alignment horizontal="center"/>
    </xf>
    <xf numFmtId="169" fontId="0" fillId="20" borderId="15" xfId="0" applyNumberFormat="1" applyFill="1" applyBorder="1" applyAlignment="1">
      <alignment horizontal="left"/>
    </xf>
    <xf numFmtId="0" fontId="49" fillId="12" borderId="19" xfId="0" applyFont="1" applyFill="1" applyBorder="1"/>
    <xf numFmtId="0" fontId="36" fillId="18" borderId="0" xfId="0" applyFont="1" applyFill="1"/>
    <xf numFmtId="0" fontId="11" fillId="16" borderId="0" xfId="0" applyFont="1" applyFill="1" applyAlignment="1">
      <alignment horizontal="left"/>
    </xf>
    <xf numFmtId="168" fontId="11" fillId="16" borderId="0" xfId="0" applyNumberFormat="1" applyFont="1" applyFill="1" applyAlignment="1">
      <alignment horizontal="left"/>
    </xf>
    <xf numFmtId="0" fontId="0" fillId="16" borderId="0" xfId="0" applyFill="1" applyAlignment="1">
      <alignment horizontal="left"/>
    </xf>
    <xf numFmtId="0" fontId="0" fillId="19" borderId="0" xfId="0" applyFill="1" applyAlignment="1">
      <alignment horizontal="right"/>
    </xf>
    <xf numFmtId="49" fontId="22" fillId="19" borderId="0" xfId="0" applyNumberFormat="1" applyFont="1" applyFill="1" applyAlignment="1">
      <alignment horizontal="center"/>
    </xf>
    <xf numFmtId="0" fontId="4" fillId="19" borderId="0" xfId="0" applyFont="1" applyFill="1"/>
    <xf numFmtId="0" fontId="0" fillId="19" borderId="0" xfId="0" applyFill="1" applyAlignment="1">
      <alignment horizontal="center"/>
    </xf>
    <xf numFmtId="0" fontId="11" fillId="19" borderId="0" xfId="0" applyFont="1" applyFill="1"/>
    <xf numFmtId="0" fontId="11" fillId="19" borderId="0" xfId="0" applyFont="1" applyFill="1" applyAlignment="1">
      <alignment horizontal="center"/>
    </xf>
    <xf numFmtId="0" fontId="44" fillId="19" borderId="0" xfId="0" applyFont="1" applyFill="1" applyAlignment="1">
      <alignment horizontal="center"/>
    </xf>
    <xf numFmtId="1" fontId="0" fillId="19" borderId="0" xfId="0" applyNumberFormat="1" applyFill="1" applyAlignment="1">
      <alignment horizontal="center"/>
    </xf>
    <xf numFmtId="2" fontId="0" fillId="19" borderId="0" xfId="0" applyNumberFormat="1" applyFill="1" applyAlignment="1">
      <alignment horizontal="center"/>
    </xf>
    <xf numFmtId="1" fontId="17" fillId="19" borderId="0" xfId="0" applyNumberFormat="1" applyFont="1" applyFill="1" applyAlignment="1">
      <alignment horizontal="center"/>
    </xf>
    <xf numFmtId="2" fontId="12" fillId="19" borderId="0" xfId="0" applyNumberFormat="1" applyFont="1" applyFill="1" applyAlignment="1">
      <alignment horizontal="center"/>
    </xf>
    <xf numFmtId="0" fontId="22" fillId="19" borderId="6" xfId="0" applyFont="1" applyFill="1" applyBorder="1"/>
    <xf numFmtId="0" fontId="29" fillId="19" borderId="0" xfId="0" applyFont="1" applyFill="1"/>
    <xf numFmtId="0" fontId="0" fillId="19" borderId="0" xfId="0" applyFill="1" applyAlignment="1">
      <alignment horizontal="left"/>
    </xf>
    <xf numFmtId="0" fontId="30" fillId="19" borderId="0" xfId="0" applyFont="1" applyFill="1"/>
    <xf numFmtId="9" fontId="29" fillId="19" borderId="0" xfId="0" applyNumberFormat="1" applyFont="1" applyFill="1"/>
    <xf numFmtId="9" fontId="31" fillId="19" borderId="0" xfId="0" applyNumberFormat="1" applyFont="1" applyFill="1"/>
    <xf numFmtId="9" fontId="32" fillId="19" borderId="0" xfId="0" applyNumberFormat="1" applyFont="1" applyFill="1"/>
    <xf numFmtId="0" fontId="28" fillId="19" borderId="0" xfId="0" applyFont="1" applyFill="1"/>
    <xf numFmtId="0" fontId="0" fillId="19" borderId="9" xfId="0" applyFill="1" applyBorder="1" applyAlignment="1">
      <alignment horizontal="center"/>
    </xf>
    <xf numFmtId="1" fontId="17" fillId="19" borderId="9" xfId="0" applyNumberFormat="1" applyFont="1" applyFill="1" applyBorder="1" applyAlignment="1">
      <alignment horizontal="center"/>
    </xf>
    <xf numFmtId="2" fontId="12" fillId="19" borderId="9" xfId="0" applyNumberFormat="1" applyFont="1" applyFill="1" applyBorder="1" applyAlignment="1">
      <alignment horizontal="center"/>
    </xf>
    <xf numFmtId="1" fontId="0" fillId="19" borderId="9" xfId="0" applyNumberFormat="1" applyFill="1" applyBorder="1" applyAlignment="1">
      <alignment horizontal="center"/>
    </xf>
    <xf numFmtId="2" fontId="0" fillId="19" borderId="9" xfId="0" applyNumberFormat="1" applyFill="1" applyBorder="1" applyAlignment="1">
      <alignment horizontal="center"/>
    </xf>
    <xf numFmtId="49" fontId="0" fillId="22" borderId="15" xfId="0" applyNumberFormat="1" applyFill="1" applyBorder="1"/>
    <xf numFmtId="0" fontId="0" fillId="22" borderId="15" xfId="0" applyFill="1" applyBorder="1" applyAlignment="1">
      <alignment vertical="center"/>
    </xf>
    <xf numFmtId="0" fontId="20" fillId="18" borderId="0" xfId="0" applyFont="1" applyFill="1" applyAlignment="1">
      <alignment vertical="center"/>
    </xf>
    <xf numFmtId="0" fontId="20" fillId="18" borderId="0" xfId="0" applyFont="1" applyFill="1"/>
    <xf numFmtId="1" fontId="21" fillId="19" borderId="9" xfId="0" applyNumberFormat="1" applyFont="1" applyFill="1" applyBorder="1"/>
    <xf numFmtId="0" fontId="0" fillId="20" borderId="15" xfId="0" applyFill="1" applyBorder="1" applyAlignment="1">
      <alignment horizontal="left"/>
    </xf>
    <xf numFmtId="0" fontId="0" fillId="20" borderId="24" xfId="0" applyFill="1" applyBorder="1" applyAlignment="1">
      <alignment horizontal="left"/>
    </xf>
    <xf numFmtId="0" fontId="66" fillId="19" borderId="0" xfId="0" applyFont="1" applyFill="1"/>
    <xf numFmtId="0" fontId="67" fillId="19" borderId="0" xfId="0" applyFont="1" applyFill="1"/>
    <xf numFmtId="0" fontId="11" fillId="19" borderId="5" xfId="0" applyFont="1" applyFill="1" applyBorder="1" applyAlignment="1">
      <alignment horizontal="center"/>
    </xf>
    <xf numFmtId="49" fontId="22" fillId="19" borderId="25" xfId="0" applyNumberFormat="1" applyFont="1" applyFill="1" applyBorder="1"/>
    <xf numFmtId="0" fontId="8" fillId="7" borderId="10" xfId="0" applyFont="1" applyFill="1" applyBorder="1"/>
    <xf numFmtId="0" fontId="0" fillId="15" borderId="0" xfId="0" applyFill="1"/>
    <xf numFmtId="0" fontId="0" fillId="8" borderId="0" xfId="0" applyFill="1" applyAlignment="1">
      <alignment wrapText="1"/>
    </xf>
    <xf numFmtId="0" fontId="0" fillId="15" borderId="11" xfId="0" applyFill="1" applyBorder="1"/>
    <xf numFmtId="0" fontId="4" fillId="15" borderId="12" xfId="0" applyFont="1" applyFill="1" applyBorder="1"/>
    <xf numFmtId="14" fontId="1" fillId="7" borderId="10" xfId="0" applyNumberFormat="1" applyFont="1" applyFill="1" applyBorder="1"/>
    <xf numFmtId="14" fontId="1" fillId="7" borderId="10" xfId="0" applyNumberFormat="1" applyFont="1" applyFill="1" applyBorder="1" applyAlignment="1">
      <alignment horizontal="right"/>
    </xf>
    <xf numFmtId="0" fontId="0" fillId="14" borderId="12" xfId="0" applyFill="1" applyBorder="1"/>
    <xf numFmtId="0" fontId="4" fillId="8" borderId="0" xfId="0" applyFont="1" applyFill="1"/>
    <xf numFmtId="0" fontId="11" fillId="8" borderId="0" xfId="0" applyFont="1" applyFill="1"/>
    <xf numFmtId="0" fontId="70" fillId="8" borderId="0" xfId="0" applyFont="1" applyFill="1"/>
    <xf numFmtId="0" fontId="70" fillId="8" borderId="0" xfId="0" applyFont="1" applyFill="1" applyAlignment="1">
      <alignment vertical="center"/>
    </xf>
    <xf numFmtId="0" fontId="69" fillId="8" borderId="0" xfId="0" applyFont="1" applyFill="1" applyAlignment="1">
      <alignment vertical="center" wrapText="1"/>
    </xf>
    <xf numFmtId="0" fontId="69" fillId="8" borderId="12" xfId="0" applyFont="1" applyFill="1" applyBorder="1" applyAlignment="1">
      <alignment vertical="center" wrapText="1"/>
    </xf>
    <xf numFmtId="0" fontId="0" fillId="8" borderId="0" xfId="0" applyFill="1" applyAlignment="1">
      <alignment horizontal="left"/>
    </xf>
    <xf numFmtId="0" fontId="71" fillId="8" borderId="11" xfId="0" applyFont="1" applyFill="1" applyBorder="1" applyAlignment="1">
      <alignment horizontal="center" vertical="center" wrapText="1"/>
    </xf>
    <xf numFmtId="0" fontId="71" fillId="8" borderId="14" xfId="0" applyFont="1" applyFill="1" applyBorder="1" applyAlignment="1">
      <alignment horizontal="center" vertical="center" wrapText="1"/>
    </xf>
    <xf numFmtId="0" fontId="69" fillId="8" borderId="0" xfId="0" applyFont="1" applyFill="1" applyAlignment="1">
      <alignment vertical="top" wrapText="1"/>
    </xf>
    <xf numFmtId="0" fontId="0" fillId="8" borderId="0" xfId="0" applyFill="1" applyAlignment="1">
      <alignment horizontal="left" wrapText="1"/>
    </xf>
    <xf numFmtId="0" fontId="0" fillId="8" borderId="0" xfId="0" applyFill="1" applyAlignment="1">
      <alignment horizontal="left" vertical="top" wrapText="1"/>
    </xf>
    <xf numFmtId="0" fontId="0" fillId="8" borderId="15" xfId="0" applyFill="1" applyBorder="1" applyAlignment="1">
      <alignment horizontal="left" vertical="top" wrapText="1"/>
    </xf>
    <xf numFmtId="0" fontId="0" fillId="8" borderId="14" xfId="0" applyFill="1" applyBorder="1" applyAlignment="1">
      <alignment vertical="top" wrapText="1"/>
    </xf>
    <xf numFmtId="0" fontId="0" fillId="8" borderId="0" xfId="0" applyFill="1" applyAlignment="1">
      <alignment vertical="top" wrapText="1"/>
    </xf>
    <xf numFmtId="0" fontId="0" fillId="8" borderId="15" xfId="0" applyFill="1" applyBorder="1" applyAlignment="1">
      <alignment vertical="top" wrapText="1"/>
    </xf>
    <xf numFmtId="0" fontId="0" fillId="8" borderId="15" xfId="0" applyFill="1" applyBorder="1" applyAlignment="1">
      <alignment wrapText="1"/>
    </xf>
    <xf numFmtId="0" fontId="11" fillId="8" borderId="0" xfId="0" applyFont="1" applyFill="1" applyAlignment="1">
      <alignment vertical="top"/>
    </xf>
    <xf numFmtId="0" fontId="0" fillId="2" borderId="3" xfId="0" applyFill="1" applyBorder="1"/>
    <xf numFmtId="0" fontId="0" fillId="2" borderId="19" xfId="0" applyFill="1" applyBorder="1"/>
    <xf numFmtId="0" fontId="0" fillId="2" borderId="4" xfId="0" applyFill="1" applyBorder="1"/>
    <xf numFmtId="0" fontId="0" fillId="23" borderId="3" xfId="0" applyFill="1" applyBorder="1"/>
    <xf numFmtId="0" fontId="0" fillId="23" borderId="19" xfId="0" applyFill="1" applyBorder="1"/>
    <xf numFmtId="0" fontId="0" fillId="23" borderId="4" xfId="0" applyFill="1" applyBorder="1"/>
    <xf numFmtId="0" fontId="0" fillId="23" borderId="5" xfId="0" applyFill="1" applyBorder="1"/>
    <xf numFmtId="0" fontId="0" fillId="23" borderId="0" xfId="0" applyFill="1"/>
    <xf numFmtId="0" fontId="0" fillId="23" borderId="6" xfId="0" applyFill="1" applyBorder="1"/>
    <xf numFmtId="0" fontId="12" fillId="23" borderId="0" xfId="0" applyFont="1" applyFill="1"/>
    <xf numFmtId="0" fontId="22" fillId="23" borderId="0" xfId="0" applyFont="1" applyFill="1"/>
    <xf numFmtId="0" fontId="0" fillId="23" borderId="7" xfId="0" applyFill="1" applyBorder="1"/>
    <xf numFmtId="0" fontId="0" fillId="23" borderId="9" xfId="0" applyFill="1" applyBorder="1"/>
    <xf numFmtId="0" fontId="0" fillId="23" borderId="8" xfId="0" applyFill="1" applyBorder="1"/>
    <xf numFmtId="0" fontId="11" fillId="23" borderId="0" xfId="0" applyFont="1" applyFill="1"/>
    <xf numFmtId="0" fontId="0" fillId="23" borderId="0" xfId="0" applyFill="1" applyAlignment="1">
      <alignment horizontal="center"/>
    </xf>
    <xf numFmtId="9" fontId="0" fillId="23" borderId="0" xfId="0" applyNumberFormat="1" applyFill="1"/>
    <xf numFmtId="1" fontId="0" fillId="23" borderId="0" xfId="0" applyNumberFormat="1" applyFill="1" applyAlignment="1">
      <alignment horizontal="center"/>
    </xf>
    <xf numFmtId="2" fontId="0" fillId="23" borderId="0" xfId="0" applyNumberFormat="1" applyFill="1" applyAlignment="1">
      <alignment horizontal="center"/>
    </xf>
    <xf numFmtId="9" fontId="16" fillId="23" borderId="0" xfId="0" applyNumberFormat="1" applyFont="1" applyFill="1"/>
    <xf numFmtId="1" fontId="17" fillId="23" borderId="0" xfId="0" applyNumberFormat="1" applyFont="1" applyFill="1" applyAlignment="1">
      <alignment horizontal="center"/>
    </xf>
    <xf numFmtId="9" fontId="12" fillId="23" borderId="0" xfId="0" applyNumberFormat="1" applyFont="1" applyFill="1"/>
    <xf numFmtId="2" fontId="12" fillId="23" borderId="0" xfId="0" applyNumberFormat="1" applyFont="1" applyFill="1" applyAlignment="1">
      <alignment horizontal="center"/>
    </xf>
    <xf numFmtId="10" fontId="0" fillId="23" borderId="0" xfId="0" applyNumberFormat="1" applyFill="1"/>
    <xf numFmtId="0" fontId="15" fillId="23" borderId="0" xfId="0" applyFont="1" applyFill="1"/>
    <xf numFmtId="0" fontId="22" fillId="23" borderId="5" xfId="0" applyFont="1" applyFill="1" applyBorder="1"/>
    <xf numFmtId="0" fontId="22" fillId="23" borderId="6" xfId="0" applyFont="1" applyFill="1" applyBorder="1"/>
    <xf numFmtId="0" fontId="12" fillId="23" borderId="9" xfId="0" applyFont="1" applyFill="1" applyBorder="1"/>
    <xf numFmtId="166" fontId="0" fillId="23" borderId="0" xfId="0" applyNumberFormat="1" applyFill="1"/>
    <xf numFmtId="0" fontId="1" fillId="21" borderId="3" xfId="0" applyFont="1" applyFill="1" applyBorder="1"/>
    <xf numFmtId="0" fontId="1" fillId="21" borderId="19" xfId="0" applyFont="1" applyFill="1" applyBorder="1"/>
    <xf numFmtId="0" fontId="1" fillId="21" borderId="4" xfId="0" applyFont="1" applyFill="1" applyBorder="1"/>
    <xf numFmtId="0" fontId="1" fillId="21" borderId="5" xfId="0" applyFont="1" applyFill="1" applyBorder="1"/>
    <xf numFmtId="0" fontId="1" fillId="21" borderId="0" xfId="0" applyFont="1" applyFill="1"/>
    <xf numFmtId="0" fontId="1" fillId="21" borderId="6" xfId="0" applyFont="1" applyFill="1" applyBorder="1"/>
    <xf numFmtId="49" fontId="47" fillId="21" borderId="0" xfId="0" applyNumberFormat="1" applyFont="1" applyFill="1"/>
    <xf numFmtId="0" fontId="3" fillId="21" borderId="0" xfId="0" applyFont="1" applyFill="1"/>
    <xf numFmtId="0" fontId="19" fillId="2" borderId="5" xfId="0" applyFont="1" applyFill="1" applyBorder="1"/>
    <xf numFmtId="0" fontId="11" fillId="2" borderId="3" xfId="0" applyFont="1" applyFill="1" applyBorder="1"/>
    <xf numFmtId="0" fontId="11" fillId="2" borderId="5" xfId="0" applyFont="1" applyFill="1" applyBorder="1"/>
    <xf numFmtId="9" fontId="0" fillId="2" borderId="5" xfId="0" applyNumberFormat="1" applyFill="1" applyBorder="1"/>
    <xf numFmtId="9" fontId="16" fillId="2" borderId="5" xfId="0" applyNumberFormat="1" applyFont="1" applyFill="1" applyBorder="1"/>
    <xf numFmtId="9" fontId="12" fillId="2" borderId="5" xfId="0" applyNumberFormat="1" applyFont="1" applyFill="1" applyBorder="1"/>
    <xf numFmtId="10" fontId="0" fillId="2" borderId="5" xfId="0" applyNumberFormat="1" applyFill="1" applyBorder="1"/>
    <xf numFmtId="0" fontId="0" fillId="7" borderId="10" xfId="0" applyFill="1" applyBorder="1"/>
    <xf numFmtId="0" fontId="0" fillId="7" borderId="2" xfId="0" applyFill="1" applyBorder="1"/>
    <xf numFmtId="0" fontId="0" fillId="14" borderId="25" xfId="0" applyFill="1" applyBorder="1"/>
    <xf numFmtId="0" fontId="0" fillId="15" borderId="15" xfId="0" applyFill="1" applyBorder="1"/>
    <xf numFmtId="0" fontId="4" fillId="15" borderId="14" xfId="0" applyFont="1" applyFill="1" applyBorder="1"/>
    <xf numFmtId="0" fontId="1" fillId="19" borderId="5" xfId="0" applyFont="1" applyFill="1" applyBorder="1"/>
    <xf numFmtId="0" fontId="3" fillId="19" borderId="0" xfId="0" applyFont="1" applyFill="1"/>
    <xf numFmtId="0" fontId="1" fillId="19" borderId="6" xfId="0" applyFont="1" applyFill="1" applyBorder="1"/>
    <xf numFmtId="14" fontId="0" fillId="8" borderId="0" xfId="0" applyNumberFormat="1" applyFill="1"/>
    <xf numFmtId="170" fontId="0" fillId="20" borderId="14" xfId="0" applyNumberFormat="1" applyFill="1" applyBorder="1"/>
    <xf numFmtId="0" fontId="0" fillId="8" borderId="17" xfId="0" applyFill="1" applyBorder="1" applyAlignment="1">
      <alignment horizontal="left"/>
    </xf>
    <xf numFmtId="0" fontId="0" fillId="8" borderId="0" xfId="0" applyFill="1" applyAlignment="1">
      <alignment horizontal="left"/>
    </xf>
    <xf numFmtId="0" fontId="69" fillId="8" borderId="12" xfId="0" applyFont="1" applyFill="1" applyBorder="1" applyAlignment="1">
      <alignment vertical="top" wrapText="1"/>
    </xf>
    <xf numFmtId="0" fontId="69" fillId="8" borderId="13" xfId="0" applyFont="1" applyFill="1" applyBorder="1" applyAlignment="1">
      <alignment vertical="top" wrapText="1"/>
    </xf>
    <xf numFmtId="0" fontId="69" fillId="8" borderId="0" xfId="0" applyFont="1" applyFill="1" applyAlignment="1">
      <alignment vertical="top" wrapText="1"/>
    </xf>
    <xf numFmtId="0" fontId="69" fillId="8" borderId="15" xfId="0" applyFont="1" applyFill="1" applyBorder="1" applyAlignment="1">
      <alignment vertical="top" wrapText="1"/>
    </xf>
    <xf numFmtId="0" fontId="69" fillId="8" borderId="0" xfId="0" applyFont="1" applyFill="1" applyAlignment="1">
      <alignment horizontal="left" vertical="top" wrapText="1"/>
    </xf>
    <xf numFmtId="0" fontId="69" fillId="8" borderId="15" xfId="0" applyFont="1" applyFill="1" applyBorder="1" applyAlignment="1">
      <alignment horizontal="left" vertical="top" wrapText="1"/>
    </xf>
    <xf numFmtId="0" fontId="0" fillId="8" borderId="0" xfId="0" applyFill="1" applyAlignment="1">
      <alignment horizontal="left" wrapText="1"/>
    </xf>
    <xf numFmtId="0" fontId="70" fillId="8" borderId="0" xfId="0" applyFont="1" applyFill="1" applyAlignment="1">
      <alignment horizontal="left" wrapText="1"/>
    </xf>
    <xf numFmtId="0" fontId="0" fillId="8" borderId="15" xfId="0" applyFill="1" applyBorder="1" applyAlignment="1">
      <alignment horizontal="left" wrapText="1"/>
    </xf>
    <xf numFmtId="0" fontId="0" fillId="8" borderId="0" xfId="0" applyFill="1" applyAlignment="1">
      <alignment horizontal="left" vertical="top" wrapText="1"/>
    </xf>
    <xf numFmtId="0" fontId="0" fillId="8" borderId="15" xfId="0" applyFill="1" applyBorder="1" applyAlignment="1">
      <alignment horizontal="left" vertical="top" wrapText="1"/>
    </xf>
    <xf numFmtId="0" fontId="0" fillId="8" borderId="17" xfId="0" applyFill="1" applyBorder="1" applyAlignment="1">
      <alignment horizontal="left" vertical="top" wrapText="1"/>
    </xf>
    <xf numFmtId="0" fontId="70" fillId="8" borderId="15" xfId="0" applyFont="1" applyFill="1" applyBorder="1" applyAlignment="1">
      <alignment horizontal="left" wrapText="1"/>
    </xf>
    <xf numFmtId="0" fontId="4" fillId="15" borderId="11" xfId="0" applyFont="1" applyFill="1" applyBorder="1" applyAlignment="1">
      <alignment horizontal="left"/>
    </xf>
    <xf numFmtId="0" fontId="4" fillId="15" borderId="12" xfId="0" applyFont="1" applyFill="1" applyBorder="1" applyAlignment="1">
      <alignment horizontal="left"/>
    </xf>
    <xf numFmtId="0" fontId="4" fillId="15" borderId="13" xfId="0" applyFont="1" applyFill="1" applyBorder="1" applyAlignment="1">
      <alignment horizontal="left"/>
    </xf>
    <xf numFmtId="0" fontId="0" fillId="8" borderId="0" xfId="0" applyFill="1" applyAlignment="1">
      <alignment horizontal="left" vertical="top"/>
    </xf>
    <xf numFmtId="0" fontId="0" fillId="8" borderId="15" xfId="0" applyFill="1" applyBorder="1" applyAlignment="1">
      <alignment horizontal="left" vertical="top"/>
    </xf>
    <xf numFmtId="0" fontId="0" fillId="8" borderId="0" xfId="0" applyFill="1" applyAlignment="1">
      <alignment horizontal="left" vertical="center" wrapText="1"/>
    </xf>
    <xf numFmtId="0" fontId="0" fillId="8" borderId="15" xfId="0" applyFill="1" applyBorder="1" applyAlignment="1">
      <alignment horizontal="left" vertical="center" wrapText="1"/>
    </xf>
    <xf numFmtId="0" fontId="40" fillId="21" borderId="12" xfId="0" applyFont="1" applyFill="1" applyBorder="1" applyAlignment="1">
      <alignment vertical="center" wrapText="1"/>
    </xf>
    <xf numFmtId="0" fontId="40" fillId="21" borderId="17" xfId="0" applyFont="1" applyFill="1" applyBorder="1" applyAlignment="1">
      <alignment vertical="center" wrapText="1"/>
    </xf>
    <xf numFmtId="0" fontId="12" fillId="16" borderId="11" xfId="0" applyFont="1" applyFill="1" applyBorder="1" applyAlignment="1">
      <alignment horizontal="center" vertical="center" textRotation="90"/>
    </xf>
    <xf numFmtId="0" fontId="12" fillId="16" borderId="14" xfId="0" applyFont="1" applyFill="1" applyBorder="1" applyAlignment="1">
      <alignment horizontal="center" vertical="center" textRotation="90"/>
    </xf>
    <xf numFmtId="0" fontId="12" fillId="16" borderId="16" xfId="0" applyFont="1" applyFill="1" applyBorder="1" applyAlignment="1">
      <alignment horizontal="center" vertical="center" textRotation="90"/>
    </xf>
  </cellXfs>
  <cellStyles count="2">
    <cellStyle name="Normal" xfId="0" builtinId="0"/>
    <cellStyle name="Prosent" xfId="1" builtinId="5"/>
  </cellStyles>
  <dxfs count="0"/>
  <tableStyles count="0" defaultTableStyle="TableStyleMedium2" defaultPivotStyle="PivotStyleLight16"/>
  <colors>
    <mruColors>
      <color rgb="FFFF9999"/>
      <color rgb="FFFF7C80"/>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b-NO"/>
              <a:t>Rørsone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pieChart>
        <c:varyColors val="1"/>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nb-N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'Input og output'!$O$41</c:f>
              <c:strCache>
                <c:ptCount val="1"/>
                <c:pt idx="0">
                  <c:v>Innkjøp og tilkjøring av pukk</c:v>
                </c:pt>
              </c:strCache>
            </c:strRef>
          </c:tx>
          <c:spPr>
            <a:solidFill>
              <a:schemeClr val="accent1"/>
            </a:solidFill>
            <a:ln>
              <a:noFill/>
            </a:ln>
            <a:effectLst/>
          </c:spPr>
          <c:invertIfNegative val="0"/>
          <c:cat>
            <c:strRef>
              <c:f>('Input og output'!$T$40,'Input og output'!$Y$40,'Input og output'!$AA$40)</c:f>
              <c:strCache>
                <c:ptCount val="3"/>
                <c:pt idx="0">
                  <c:v>Scenario 1</c:v>
                </c:pt>
                <c:pt idx="1">
                  <c:v>Scenario 2</c:v>
                </c:pt>
                <c:pt idx="2">
                  <c:v>Scenario 3</c:v>
                </c:pt>
              </c:strCache>
            </c:strRef>
          </c:cat>
          <c:val>
            <c:numRef>
              <c:f>('Input og output'!$T$41,'Input og output'!$Y$41,'Input og output'!$AA$41)</c:f>
              <c:numCache>
                <c:formatCode>"kr"\ #\ ##0.00</c:formatCode>
                <c:ptCount val="3"/>
                <c:pt idx="0">
                  <c:v>0</c:v>
                </c:pt>
                <c:pt idx="1">
                  <c:v>23375</c:v>
                </c:pt>
                <c:pt idx="2">
                  <c:v>155358.23647056884</c:v>
                </c:pt>
              </c:numCache>
            </c:numRef>
          </c:val>
          <c:extLst>
            <c:ext xmlns:c16="http://schemas.microsoft.com/office/drawing/2014/chart" uri="{C3380CC4-5D6E-409C-BE32-E72D297353CC}">
              <c16:uniqueId val="{00000000-43C3-4591-BD62-EC0D8C895EFB}"/>
            </c:ext>
          </c:extLst>
        </c:ser>
        <c:ser>
          <c:idx val="1"/>
          <c:order val="1"/>
          <c:tx>
            <c:strRef>
              <c:f>'Input og output'!$O$42</c:f>
              <c:strCache>
                <c:ptCount val="1"/>
                <c:pt idx="0">
                  <c:v>Opplasting og bortkjøring av overskuddsmasser</c:v>
                </c:pt>
              </c:strCache>
            </c:strRef>
          </c:tx>
          <c:spPr>
            <a:solidFill>
              <a:schemeClr val="accent2"/>
            </a:solidFill>
            <a:ln>
              <a:noFill/>
            </a:ln>
            <a:effectLst/>
          </c:spPr>
          <c:invertIfNegative val="0"/>
          <c:cat>
            <c:strRef>
              <c:f>('Input og output'!$T$40,'Input og output'!$Y$40,'Input og output'!$AA$40)</c:f>
              <c:strCache>
                <c:ptCount val="3"/>
                <c:pt idx="0">
                  <c:v>Scenario 1</c:v>
                </c:pt>
                <c:pt idx="1">
                  <c:v>Scenario 2</c:v>
                </c:pt>
                <c:pt idx="2">
                  <c:v>Scenario 3</c:v>
                </c:pt>
              </c:strCache>
            </c:strRef>
          </c:cat>
          <c:val>
            <c:numRef>
              <c:f>('Input og output'!$T$42,'Input og output'!$Y$42,'Input og output'!$AA$42)</c:f>
              <c:numCache>
                <c:formatCode>"kr"\ #\ ##0.00</c:formatCode>
                <c:ptCount val="3"/>
                <c:pt idx="0">
                  <c:v>19634.954084936206</c:v>
                </c:pt>
                <c:pt idx="1">
                  <c:v>36634.954084936202</c:v>
                </c:pt>
                <c:pt idx="2">
                  <c:v>132622.76242716811</c:v>
                </c:pt>
              </c:numCache>
            </c:numRef>
          </c:val>
          <c:extLst>
            <c:ext xmlns:c16="http://schemas.microsoft.com/office/drawing/2014/chart" uri="{C3380CC4-5D6E-409C-BE32-E72D297353CC}">
              <c16:uniqueId val="{00000001-43C3-4591-BD62-EC0D8C895EFB}"/>
            </c:ext>
          </c:extLst>
        </c:ser>
        <c:ser>
          <c:idx val="2"/>
          <c:order val="2"/>
          <c:tx>
            <c:strRef>
              <c:f>'Input og output'!$O$43</c:f>
              <c:strCache>
                <c:ptCount val="1"/>
                <c:pt idx="0">
                  <c:v>Sortering av masser</c:v>
                </c:pt>
              </c:strCache>
            </c:strRef>
          </c:tx>
          <c:spPr>
            <a:solidFill>
              <a:schemeClr val="accent3"/>
            </a:solidFill>
            <a:ln>
              <a:noFill/>
            </a:ln>
            <a:effectLst/>
          </c:spPr>
          <c:invertIfNegative val="0"/>
          <c:cat>
            <c:strRef>
              <c:f>('Input og output'!$T$40,'Input og output'!$Y$40,'Input og output'!$AA$40)</c:f>
              <c:strCache>
                <c:ptCount val="3"/>
                <c:pt idx="0">
                  <c:v>Scenario 1</c:v>
                </c:pt>
                <c:pt idx="1">
                  <c:v>Scenario 2</c:v>
                </c:pt>
                <c:pt idx="2">
                  <c:v>Scenario 3</c:v>
                </c:pt>
              </c:strCache>
            </c:strRef>
          </c:cat>
          <c:val>
            <c:numRef>
              <c:f>('Input og output'!$T$43,'Input og output'!$Y$43,'Input og output'!$AA$43)</c:f>
              <c:numCache>
                <c:formatCode>"kr"\ #\ ##0.00</c:formatCode>
                <c:ptCount val="3"/>
                <c:pt idx="0">
                  <c:v>29733.633774271551</c:v>
                </c:pt>
                <c:pt idx="1">
                  <c:v>25259.949563745235</c:v>
                </c:pt>
                <c:pt idx="2">
                  <c:v>0</c:v>
                </c:pt>
              </c:numCache>
            </c:numRef>
          </c:val>
          <c:extLst>
            <c:ext xmlns:c16="http://schemas.microsoft.com/office/drawing/2014/chart" uri="{C3380CC4-5D6E-409C-BE32-E72D297353CC}">
              <c16:uniqueId val="{00000002-43C3-4591-BD62-EC0D8C895EFB}"/>
            </c:ext>
          </c:extLst>
        </c:ser>
        <c:ser>
          <c:idx val="4"/>
          <c:order val="3"/>
          <c:tx>
            <c:strRef>
              <c:f>'Input og output'!$O$44</c:f>
              <c:strCache>
                <c:ptCount val="1"/>
                <c:pt idx="0">
                  <c:v>Beskyttelse av rør (fiberduk). Levering og montering</c:v>
                </c:pt>
              </c:strCache>
            </c:strRef>
          </c:tx>
          <c:spPr>
            <a:solidFill>
              <a:schemeClr val="accent5"/>
            </a:solidFill>
            <a:ln>
              <a:noFill/>
            </a:ln>
            <a:effectLst/>
          </c:spPr>
          <c:invertIfNegative val="0"/>
          <c:cat>
            <c:strRef>
              <c:f>('Input og output'!$T$40,'Input og output'!$Y$40,'Input og output'!$AA$40)</c:f>
              <c:strCache>
                <c:ptCount val="3"/>
                <c:pt idx="0">
                  <c:v>Scenario 1</c:v>
                </c:pt>
                <c:pt idx="1">
                  <c:v>Scenario 2</c:v>
                </c:pt>
                <c:pt idx="2">
                  <c:v>Scenario 3</c:v>
                </c:pt>
              </c:strCache>
            </c:strRef>
          </c:cat>
          <c:val>
            <c:numRef>
              <c:f>('Input og output'!$T$44,'Input og output'!$Y$44,'Input og output'!$AA$44)</c:f>
              <c:numCache>
                <c:formatCode>"kr"\ #\ ##0.00</c:formatCode>
                <c:ptCount val="3"/>
                <c:pt idx="0">
                  <c:v>0</c:v>
                </c:pt>
                <c:pt idx="1">
                  <c:v>0</c:v>
                </c:pt>
                <c:pt idx="2">
                  <c:v>0</c:v>
                </c:pt>
              </c:numCache>
            </c:numRef>
          </c:val>
          <c:extLst>
            <c:ext xmlns:c16="http://schemas.microsoft.com/office/drawing/2014/chart" uri="{C3380CC4-5D6E-409C-BE32-E72D297353CC}">
              <c16:uniqueId val="{00000004-43C3-4591-BD62-EC0D8C895EFB}"/>
            </c:ext>
          </c:extLst>
        </c:ser>
        <c:dLbls>
          <c:showLegendKey val="0"/>
          <c:showVal val="0"/>
          <c:showCatName val="0"/>
          <c:showSerName val="0"/>
          <c:showPercent val="0"/>
          <c:showBubbleSize val="0"/>
        </c:dLbls>
        <c:gapWidth val="150"/>
        <c:overlap val="100"/>
        <c:axId val="1158198784"/>
        <c:axId val="1158200448"/>
        <c:extLst>
          <c:ext xmlns:c15="http://schemas.microsoft.com/office/drawing/2012/chart" uri="{02D57815-91ED-43cb-92C2-25804820EDAC}">
            <c15:filteredBarSeries>
              <c15:ser>
                <c:idx val="5"/>
                <c:order val="4"/>
                <c:tx>
                  <c:strRef>
                    <c:extLst>
                      <c:ext uri="{02D57815-91ED-43cb-92C2-25804820EDAC}">
                        <c15:formulaRef>
                          <c15:sqref>'Input og output'!$O$45</c15:sqref>
                        </c15:formulaRef>
                      </c:ext>
                    </c:extLst>
                    <c:strCache>
                      <c:ptCount val="1"/>
                      <c:pt idx="0">
                        <c:v>Rigg og drift av alle øvrige grøftearbeider</c:v>
                      </c:pt>
                    </c:strCache>
                  </c:strRef>
                </c:tx>
                <c:spPr>
                  <a:solidFill>
                    <a:schemeClr val="accent6"/>
                  </a:solidFill>
                  <a:ln>
                    <a:noFill/>
                  </a:ln>
                  <a:effectLst/>
                </c:spPr>
                <c:invertIfNegative val="0"/>
                <c:cat>
                  <c:strRef>
                    <c:extLst>
                      <c:ext uri="{02D57815-91ED-43cb-92C2-25804820EDAC}">
                        <c15:formulaRef>
                          <c15:sqref>('Input og output'!$T$40,'Input og output'!$Y$40,'Input og output'!$AA$40)</c15:sqref>
                        </c15:formulaRef>
                      </c:ext>
                    </c:extLst>
                    <c:strCache>
                      <c:ptCount val="3"/>
                      <c:pt idx="0">
                        <c:v>Scenario 1</c:v>
                      </c:pt>
                      <c:pt idx="1">
                        <c:v>Scenario 2</c:v>
                      </c:pt>
                      <c:pt idx="2">
                        <c:v>Scenario 3</c:v>
                      </c:pt>
                    </c:strCache>
                  </c:strRef>
                </c:cat>
                <c:val>
                  <c:numRef>
                    <c:extLst>
                      <c:ext uri="{02D57815-91ED-43cb-92C2-25804820EDAC}">
                        <c15:formulaRef>
                          <c15:sqref>('Input og output'!$T$45,'Input og output'!$Y$45,'Input og output'!$AA$45)</c15:sqref>
                        </c15:formulaRef>
                      </c:ext>
                    </c:extLst>
                    <c:numCache>
                      <c:formatCode>"kr"\ #\ ##0.00</c:formatCode>
                      <c:ptCount val="3"/>
                      <c:pt idx="0">
                        <c:v>9873.7175718415529</c:v>
                      </c:pt>
                      <c:pt idx="1">
                        <c:v>17053.98072973629</c:v>
                      </c:pt>
                      <c:pt idx="2">
                        <c:v>57596.199779547394</c:v>
                      </c:pt>
                    </c:numCache>
                  </c:numRef>
                </c:val>
                <c:extLst>
                  <c:ext xmlns:c16="http://schemas.microsoft.com/office/drawing/2014/chart" uri="{C3380CC4-5D6E-409C-BE32-E72D297353CC}">
                    <c16:uniqueId val="{00000005-43C3-4591-BD62-EC0D8C895EFB}"/>
                  </c:ext>
                </c:extLst>
              </c15:ser>
            </c15:filteredBarSeries>
          </c:ext>
        </c:extLst>
      </c:barChart>
      <c:catAx>
        <c:axId val="115819878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nb-NO"/>
          </a:p>
        </c:txPr>
        <c:crossAx val="1158200448"/>
        <c:crossesAt val="0"/>
        <c:auto val="1"/>
        <c:lblAlgn val="ctr"/>
        <c:lblOffset val="100"/>
        <c:noMultiLvlLbl val="0"/>
      </c:catAx>
      <c:valAx>
        <c:axId val="1158200448"/>
        <c:scaling>
          <c:orientation val="minMax"/>
        </c:scaling>
        <c:delete val="0"/>
        <c:axPos val="t"/>
        <c:majorGridlines>
          <c:spPr>
            <a:ln w="9525" cap="flat" cmpd="sng" algn="ctr">
              <a:solidFill>
                <a:schemeClr val="tx1">
                  <a:lumMod val="15000"/>
                  <a:lumOff val="85000"/>
                </a:schemeClr>
              </a:solidFill>
              <a:round/>
            </a:ln>
            <a:effectLst/>
          </c:spPr>
        </c:majorGridlines>
        <c:numFmt formatCode="&quot;kr&quot;\ #\ ##0.00" sourceLinked="1"/>
        <c:majorTickMark val="none"/>
        <c:minorTickMark val="none"/>
        <c:tickLblPos val="low"/>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nb-NO"/>
          </a:p>
        </c:txPr>
        <c:crossAx val="1158198784"/>
        <c:crosses val="autoZero"/>
        <c:crossBetween val="between"/>
      </c:valAx>
      <c:spPr>
        <a:noFill/>
        <a:ln>
          <a:noFill/>
        </a:ln>
        <a:effectLst/>
      </c:spPr>
    </c:plotArea>
    <c:legend>
      <c:legendPos val="b"/>
      <c:layout>
        <c:manualLayout>
          <c:xMode val="edge"/>
          <c:yMode val="edge"/>
          <c:x val="8.859177109903504E-3"/>
          <c:y val="0.89221717479748464"/>
          <c:w val="0.97664784296329155"/>
          <c:h val="9.463213800144761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noFill/>
    <a:ln w="9525" cap="flat" cmpd="sng" algn="ctr">
      <a:noFill/>
      <a:round/>
    </a:ln>
    <a:effectLst/>
  </c:spPr>
  <c:txPr>
    <a:bodyPr/>
    <a:lstStyle/>
    <a:p>
      <a:pPr>
        <a:defRPr/>
      </a:pPr>
      <a:endParaRPr lang="nb-N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'Input og output'!$D$53</c:f>
              <c:strCache>
                <c:ptCount val="1"/>
                <c:pt idx="0">
                  <c:v>Pukk (tilkjørte masser)</c:v>
                </c:pt>
              </c:strCache>
            </c:strRef>
          </c:tx>
          <c:spPr>
            <a:solidFill>
              <a:schemeClr val="accent1"/>
            </a:solidFill>
            <a:ln>
              <a:noFill/>
            </a:ln>
            <a:effectLst/>
          </c:spPr>
          <c:invertIfNegative val="0"/>
          <c:cat>
            <c:strRef>
              <c:f>('Input og output'!$F$50,'Input og output'!$H$50,'Input og output'!$J$50)</c:f>
              <c:strCache>
                <c:ptCount val="3"/>
                <c:pt idx="0">
                  <c:v>Scenario 1</c:v>
                </c:pt>
                <c:pt idx="1">
                  <c:v>Scenario 2</c:v>
                </c:pt>
                <c:pt idx="2">
                  <c:v>Scenario 3</c:v>
                </c:pt>
              </c:strCache>
            </c:strRef>
          </c:cat>
          <c:val>
            <c:numRef>
              <c:f>('Input og output'!$F$53,'Input og output'!$H$53,'Input og output'!$J$53)</c:f>
              <c:numCache>
                <c:formatCode>0</c:formatCode>
                <c:ptCount val="3"/>
                <c:pt idx="0" formatCode="General">
                  <c:v>0</c:v>
                </c:pt>
                <c:pt idx="1">
                  <c:v>85</c:v>
                </c:pt>
                <c:pt idx="2">
                  <c:v>564.93904171115946</c:v>
                </c:pt>
              </c:numCache>
            </c:numRef>
          </c:val>
          <c:extLst>
            <c:ext xmlns:c16="http://schemas.microsoft.com/office/drawing/2014/chart" uri="{C3380CC4-5D6E-409C-BE32-E72D297353CC}">
              <c16:uniqueId val="{00000000-A142-42C1-96C9-2D5627319C97}"/>
            </c:ext>
          </c:extLst>
        </c:ser>
        <c:ser>
          <c:idx val="1"/>
          <c:order val="1"/>
          <c:tx>
            <c:strRef>
              <c:f>'Input og output'!$D$54</c:f>
              <c:strCache>
                <c:ptCount val="1"/>
                <c:pt idx="0">
                  <c:v>Overskuddsmasser</c:v>
                </c:pt>
              </c:strCache>
            </c:strRef>
          </c:tx>
          <c:spPr>
            <a:solidFill>
              <a:schemeClr val="accent4">
                <a:lumMod val="40000"/>
                <a:lumOff val="60000"/>
              </a:schemeClr>
            </a:solidFill>
            <a:ln>
              <a:noFill/>
            </a:ln>
            <a:effectLst/>
          </c:spPr>
          <c:invertIfNegative val="0"/>
          <c:cat>
            <c:strRef>
              <c:f>('Input og output'!$F$50,'Input og output'!$H$50,'Input og output'!$J$50)</c:f>
              <c:strCache>
                <c:ptCount val="3"/>
                <c:pt idx="0">
                  <c:v>Scenario 1</c:v>
                </c:pt>
                <c:pt idx="1">
                  <c:v>Scenario 2</c:v>
                </c:pt>
                <c:pt idx="2">
                  <c:v>Scenario 3</c:v>
                </c:pt>
              </c:strCache>
            </c:strRef>
          </c:cat>
          <c:val>
            <c:numRef>
              <c:f>('Input og output'!$F$54,'Input og output'!$H$54,'Input og output'!$J$54)</c:f>
              <c:numCache>
                <c:formatCode>0</c:formatCode>
                <c:ptCount val="3"/>
                <c:pt idx="0">
                  <c:v>98.174770424681029</c:v>
                </c:pt>
                <c:pt idx="1">
                  <c:v>183.17477042468101</c:v>
                </c:pt>
                <c:pt idx="2">
                  <c:v>663.11381213584059</c:v>
                </c:pt>
              </c:numCache>
            </c:numRef>
          </c:val>
          <c:extLst>
            <c:ext xmlns:c16="http://schemas.microsoft.com/office/drawing/2014/chart" uri="{C3380CC4-5D6E-409C-BE32-E72D297353CC}">
              <c16:uniqueId val="{00000001-A142-42C1-96C9-2D5627319C97}"/>
            </c:ext>
          </c:extLst>
        </c:ser>
        <c:dLbls>
          <c:showLegendKey val="0"/>
          <c:showVal val="0"/>
          <c:showCatName val="0"/>
          <c:showSerName val="0"/>
          <c:showPercent val="0"/>
          <c:showBubbleSize val="0"/>
        </c:dLbls>
        <c:gapWidth val="150"/>
        <c:axId val="1058399168"/>
        <c:axId val="1058402496"/>
      </c:barChart>
      <c:lineChart>
        <c:grouping val="standard"/>
        <c:varyColors val="0"/>
        <c:ser>
          <c:idx val="2"/>
          <c:order val="2"/>
          <c:tx>
            <c:strRef>
              <c:f>'Input og output'!$D$56</c:f>
              <c:strCache>
                <c:ptCount val="1"/>
                <c:pt idx="0">
                  <c:v>Totalt gjenbruk, stedlige masser</c:v>
                </c:pt>
              </c:strCache>
            </c:strRef>
          </c:tx>
          <c:spPr>
            <a:ln w="57150" cap="rnd">
              <a:solidFill>
                <a:schemeClr val="accent4"/>
              </a:solidFill>
              <a:round/>
            </a:ln>
            <a:effectLst/>
          </c:spPr>
          <c:marker>
            <c:symbol val="square"/>
            <c:size val="10"/>
            <c:spPr>
              <a:solidFill>
                <a:schemeClr val="accent4"/>
              </a:solidFill>
              <a:ln w="57150">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('Input og output'!$F$50,'Input og output'!$H$50,'Input og output'!$J$50)</c:f>
              <c:strCache>
                <c:ptCount val="3"/>
                <c:pt idx="0">
                  <c:v>Scenario 1</c:v>
                </c:pt>
                <c:pt idx="1">
                  <c:v>Scenario 2</c:v>
                </c:pt>
                <c:pt idx="2">
                  <c:v>Scenario 3</c:v>
                </c:pt>
              </c:strCache>
            </c:strRef>
          </c:cat>
          <c:val>
            <c:numRef>
              <c:f>('Input og output'!$F$56,'Input og output'!$H$56,'Input og output'!$J$56)</c:f>
              <c:numCache>
                <c:formatCode>0</c:formatCode>
                <c:ptCount val="3"/>
                <c:pt idx="0">
                  <c:v>6751.8252295753191</c:v>
                </c:pt>
                <c:pt idx="1">
                  <c:v>6666.8252295753191</c:v>
                </c:pt>
                <c:pt idx="2">
                  <c:v>6186.8861878641592</c:v>
                </c:pt>
              </c:numCache>
            </c:numRef>
          </c:val>
          <c:smooth val="0"/>
          <c:extLst>
            <c:ext xmlns:c16="http://schemas.microsoft.com/office/drawing/2014/chart" uri="{C3380CC4-5D6E-409C-BE32-E72D297353CC}">
              <c16:uniqueId val="{00000002-A142-42C1-96C9-2D5627319C97}"/>
            </c:ext>
          </c:extLst>
        </c:ser>
        <c:dLbls>
          <c:showLegendKey val="0"/>
          <c:showVal val="0"/>
          <c:showCatName val="0"/>
          <c:showSerName val="0"/>
          <c:showPercent val="0"/>
          <c:showBubbleSize val="0"/>
        </c:dLbls>
        <c:marker val="1"/>
        <c:smooth val="0"/>
        <c:axId val="1329671744"/>
        <c:axId val="1329666336"/>
      </c:lineChart>
      <c:catAx>
        <c:axId val="105839916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nb-NO"/>
          </a:p>
        </c:txPr>
        <c:crossAx val="1058402496"/>
        <c:crosses val="autoZero"/>
        <c:auto val="1"/>
        <c:lblAlgn val="ctr"/>
        <c:lblOffset val="100"/>
        <c:noMultiLvlLbl val="0"/>
      </c:catAx>
      <c:valAx>
        <c:axId val="10584024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nb-NO"/>
          </a:p>
        </c:txPr>
        <c:crossAx val="1058399168"/>
        <c:crosses val="autoZero"/>
        <c:crossBetween val="between"/>
      </c:valAx>
      <c:valAx>
        <c:axId val="1329666336"/>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6">
                    <a:lumMod val="20000"/>
                    <a:lumOff val="80000"/>
                  </a:schemeClr>
                </a:solidFill>
                <a:latin typeface="+mn-lt"/>
                <a:ea typeface="+mn-ea"/>
                <a:cs typeface="+mn-cs"/>
              </a:defRPr>
            </a:pPr>
            <a:endParaRPr lang="nb-NO"/>
          </a:p>
        </c:txPr>
        <c:crossAx val="1329671744"/>
        <c:crosses val="max"/>
        <c:crossBetween val="between"/>
      </c:valAx>
      <c:catAx>
        <c:axId val="1329671744"/>
        <c:scaling>
          <c:orientation val="minMax"/>
        </c:scaling>
        <c:delete val="1"/>
        <c:axPos val="t"/>
        <c:numFmt formatCode="General" sourceLinked="1"/>
        <c:majorTickMark val="out"/>
        <c:minorTickMark val="none"/>
        <c:tickLblPos val="nextTo"/>
        <c:crossAx val="1329666336"/>
        <c:crosses val="max"/>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b-NO"/>
              <a:t>Rørsone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pieChart>
        <c:varyColors val="1"/>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b-NO"/>
              <a:t>Hele</a:t>
            </a:r>
            <a:r>
              <a:rPr lang="nb-NO" baseline="0"/>
              <a:t> grøfta</a:t>
            </a:r>
            <a:endParaRPr lang="nb-N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pieChart>
        <c:varyColors val="1"/>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b-NO"/>
              <a:t>Rørsone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pieChart>
        <c:varyColors val="1"/>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nb-N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b-NO"/>
              <a:t>Rørsone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pieChart>
        <c:varyColors val="1"/>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nb-N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dLbls>
          <c:showLegendKey val="0"/>
          <c:showVal val="0"/>
          <c:showCatName val="0"/>
          <c:showSerName val="0"/>
          <c:showPercent val="0"/>
          <c:showBubbleSize val="0"/>
          <c:showLeaderLines val="0"/>
        </c:dLbls>
        <c:firstSliceAng val="0"/>
      </c:pieChart>
      <c:spPr>
        <a:noFill/>
        <a:ln>
          <a:noFill/>
        </a:ln>
        <a:effectLst/>
      </c:spPr>
    </c:plotArea>
    <c:legend>
      <c:legendPos val="b"/>
      <c:layout>
        <c:manualLayout>
          <c:xMode val="edge"/>
          <c:yMode val="edge"/>
          <c:x val="1.9424540682414698E-2"/>
          <c:y val="0.65793170079535201"/>
          <c:w val="0.95559536307961501"/>
          <c:h val="0.34206829920464787"/>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nb-N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dLbls>
          <c:showLegendKey val="0"/>
          <c:showVal val="0"/>
          <c:showCatName val="0"/>
          <c:showSerName val="0"/>
          <c:showPercent val="0"/>
          <c:showBubbleSize val="0"/>
          <c:showLeaderLines val="0"/>
        </c:dLbls>
        <c:firstSliceAng val="0"/>
      </c:pieChart>
      <c:spPr>
        <a:noFill/>
        <a:ln>
          <a:noFill/>
        </a:ln>
        <a:effectLst/>
      </c:spPr>
    </c:plotArea>
    <c:legend>
      <c:legendPos val="b"/>
      <c:layout>
        <c:manualLayout>
          <c:xMode val="edge"/>
          <c:yMode val="edge"/>
          <c:x val="2.2212007152399075E-2"/>
          <c:y val="0.64529679939967155"/>
          <c:w val="0.95281758530183724"/>
          <c:h val="0.34525320860680059"/>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nb-N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dLbls>
          <c:showLegendKey val="0"/>
          <c:showVal val="0"/>
          <c:showCatName val="0"/>
          <c:showSerName val="0"/>
          <c:showPercent val="0"/>
          <c:showBubbleSize val="0"/>
          <c:showLeaderLines val="0"/>
        </c:dLbls>
        <c:firstSliceAng val="0"/>
      </c:pieChart>
      <c:spPr>
        <a:noFill/>
        <a:ln>
          <a:noFill/>
        </a:ln>
        <a:effectLst/>
      </c:spPr>
    </c:plotArea>
    <c:legend>
      <c:legendPos val="b"/>
      <c:layout>
        <c:manualLayout>
          <c:xMode val="edge"/>
          <c:yMode val="edge"/>
          <c:x val="1.3859365140333068E-2"/>
          <c:y val="0.65838302205333221"/>
          <c:w val="0.96670647419072619"/>
          <c:h val="0.33867587627132456"/>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nb-N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3319207871656E-2"/>
          <c:y val="2.3854701134916861E-2"/>
          <c:w val="0.90533715771689238"/>
          <c:h val="0.85137172215574097"/>
        </c:manualLayout>
      </c:layout>
      <c:barChart>
        <c:barDir val="bar"/>
        <c:grouping val="stacked"/>
        <c:varyColors val="0"/>
        <c:ser>
          <c:idx val="0"/>
          <c:order val="0"/>
          <c:tx>
            <c:strRef>
              <c:f>'Input og output'!$AE$41</c:f>
              <c:strCache>
                <c:ptCount val="1"/>
                <c:pt idx="0">
                  <c:v>Pukk (produksjon)</c:v>
                </c:pt>
              </c:strCache>
            </c:strRef>
          </c:tx>
          <c:spPr>
            <a:solidFill>
              <a:schemeClr val="accent6"/>
            </a:solidFill>
            <a:ln>
              <a:noFill/>
            </a:ln>
            <a:effectLst/>
          </c:spPr>
          <c:invertIfNegative val="0"/>
          <c:cat>
            <c:strRef>
              <c:f>('Input og output'!$AK$40,'Input og output'!$AN$40,'Input og output'!$AP$40)</c:f>
              <c:strCache>
                <c:ptCount val="3"/>
                <c:pt idx="0">
                  <c:v>Scenario 1</c:v>
                </c:pt>
                <c:pt idx="1">
                  <c:v>Scenario 2</c:v>
                </c:pt>
                <c:pt idx="2">
                  <c:v>Scenario 3</c:v>
                </c:pt>
              </c:strCache>
            </c:strRef>
          </c:cat>
          <c:val>
            <c:numRef>
              <c:f>('Input og output'!$AK$41,'Input og output'!$AN$41,'Input og output'!$AP$41)</c:f>
              <c:numCache>
                <c:formatCode>0.00</c:formatCode>
                <c:ptCount val="3"/>
                <c:pt idx="0">
                  <c:v>0</c:v>
                </c:pt>
                <c:pt idx="1">
                  <c:v>415.01249999999999</c:v>
                </c:pt>
                <c:pt idx="2">
                  <c:v>2758.314871154736</c:v>
                </c:pt>
              </c:numCache>
            </c:numRef>
          </c:val>
          <c:extLst>
            <c:ext xmlns:c16="http://schemas.microsoft.com/office/drawing/2014/chart" uri="{C3380CC4-5D6E-409C-BE32-E72D297353CC}">
              <c16:uniqueId val="{00000000-4259-436B-BFC1-54881887BB04}"/>
            </c:ext>
          </c:extLst>
        </c:ser>
        <c:ser>
          <c:idx val="1"/>
          <c:order val="1"/>
          <c:tx>
            <c:strRef>
              <c:f>'Input og output'!$AE$42</c:f>
              <c:strCache>
                <c:ptCount val="1"/>
                <c:pt idx="0">
                  <c:v>Transport, masser ut av anlegg</c:v>
                </c:pt>
              </c:strCache>
            </c:strRef>
          </c:tx>
          <c:spPr>
            <a:solidFill>
              <a:schemeClr val="accent5"/>
            </a:solidFill>
            <a:ln>
              <a:noFill/>
            </a:ln>
            <a:effectLst/>
          </c:spPr>
          <c:invertIfNegative val="0"/>
          <c:cat>
            <c:strRef>
              <c:f>('Input og output'!$AK$40,'Input og output'!$AN$40,'Input og output'!$AP$40)</c:f>
              <c:strCache>
                <c:ptCount val="3"/>
                <c:pt idx="0">
                  <c:v>Scenario 1</c:v>
                </c:pt>
                <c:pt idx="1">
                  <c:v>Scenario 2</c:v>
                </c:pt>
                <c:pt idx="2">
                  <c:v>Scenario 3</c:v>
                </c:pt>
              </c:strCache>
            </c:strRef>
          </c:cat>
          <c:val>
            <c:numRef>
              <c:f>('Input og output'!$AK$42,'Input og output'!$AN$42,'Input og output'!$AP$42)</c:f>
              <c:numCache>
                <c:formatCode>0.00</c:formatCode>
                <c:ptCount val="3"/>
                <c:pt idx="0">
                  <c:v>82.938234550329781</c:v>
                </c:pt>
                <c:pt idx="1">
                  <c:v>154.74639775032978</c:v>
                </c:pt>
                <c:pt idx="2">
                  <c:v>560.19982167087755</c:v>
                </c:pt>
              </c:numCache>
            </c:numRef>
          </c:val>
          <c:extLst>
            <c:ext xmlns:c16="http://schemas.microsoft.com/office/drawing/2014/chart" uri="{C3380CC4-5D6E-409C-BE32-E72D297353CC}">
              <c16:uniqueId val="{00000001-4259-436B-BFC1-54881887BB04}"/>
            </c:ext>
          </c:extLst>
        </c:ser>
        <c:ser>
          <c:idx val="2"/>
          <c:order val="2"/>
          <c:tx>
            <c:strRef>
              <c:f>'Input og output'!$AE$43</c:f>
              <c:strCache>
                <c:ptCount val="1"/>
                <c:pt idx="0">
                  <c:v>Transport, masser inn til anlegg (pukk)</c:v>
                </c:pt>
              </c:strCache>
            </c:strRef>
          </c:tx>
          <c:spPr>
            <a:solidFill>
              <a:schemeClr val="accent4"/>
            </a:solidFill>
            <a:ln>
              <a:noFill/>
            </a:ln>
            <a:effectLst/>
          </c:spPr>
          <c:invertIfNegative val="0"/>
          <c:cat>
            <c:strRef>
              <c:f>('Input og output'!$AK$40,'Input og output'!$AN$40,'Input og output'!$AP$40)</c:f>
              <c:strCache>
                <c:ptCount val="3"/>
                <c:pt idx="0">
                  <c:v>Scenario 1</c:v>
                </c:pt>
                <c:pt idx="1">
                  <c:v>Scenario 2</c:v>
                </c:pt>
                <c:pt idx="2">
                  <c:v>Scenario 3</c:v>
                </c:pt>
              </c:strCache>
            </c:strRef>
          </c:cat>
          <c:val>
            <c:numRef>
              <c:f>('Input og output'!$AK$43,'Input og output'!$AN$43,'Input og output'!$AP$43)</c:f>
              <c:numCache>
                <c:formatCode>0.00</c:formatCode>
                <c:ptCount val="3"/>
                <c:pt idx="0">
                  <c:v>0</c:v>
                </c:pt>
                <c:pt idx="1">
                  <c:v>69.564158100000014</c:v>
                </c:pt>
                <c:pt idx="2">
                  <c:v>462.34716252303059</c:v>
                </c:pt>
              </c:numCache>
            </c:numRef>
          </c:val>
          <c:extLst>
            <c:ext xmlns:c16="http://schemas.microsoft.com/office/drawing/2014/chart" uri="{C3380CC4-5D6E-409C-BE32-E72D297353CC}">
              <c16:uniqueId val="{00000002-4259-436B-BFC1-54881887BB04}"/>
            </c:ext>
          </c:extLst>
        </c:ser>
        <c:ser>
          <c:idx val="3"/>
          <c:order val="3"/>
          <c:tx>
            <c:strRef>
              <c:f>'Input og output'!$AE$44</c:f>
              <c:strCache>
                <c:ptCount val="1"/>
                <c:pt idx="0">
                  <c:v>Sortering av masser</c:v>
                </c:pt>
              </c:strCache>
            </c:strRef>
          </c:tx>
          <c:spPr>
            <a:solidFill>
              <a:schemeClr val="accent6">
                <a:lumMod val="60000"/>
              </a:schemeClr>
            </a:solidFill>
            <a:ln>
              <a:noFill/>
            </a:ln>
            <a:effectLst/>
          </c:spPr>
          <c:invertIfNegative val="0"/>
          <c:cat>
            <c:strRef>
              <c:f>('Input og output'!$AK$40,'Input og output'!$AN$40,'Input og output'!$AP$40)</c:f>
              <c:strCache>
                <c:ptCount val="3"/>
                <c:pt idx="0">
                  <c:v>Scenario 1</c:v>
                </c:pt>
                <c:pt idx="1">
                  <c:v>Scenario 2</c:v>
                </c:pt>
                <c:pt idx="2">
                  <c:v>Scenario 3</c:v>
                </c:pt>
              </c:strCache>
            </c:strRef>
          </c:cat>
          <c:val>
            <c:numRef>
              <c:f>('Input og output'!$AK$44,'Input og output'!$AN$44,'Input og output'!$AP$44)</c:f>
              <c:numCache>
                <c:formatCode>0.00</c:formatCode>
                <c:ptCount val="3"/>
                <c:pt idx="0">
                  <c:v>500.95226182892713</c:v>
                </c:pt>
                <c:pt idx="1">
                  <c:v>425.57963024997974</c:v>
                </c:pt>
                <c:pt idx="2">
                  <c:v>0</c:v>
                </c:pt>
              </c:numCache>
            </c:numRef>
          </c:val>
          <c:extLst>
            <c:ext xmlns:c16="http://schemas.microsoft.com/office/drawing/2014/chart" uri="{C3380CC4-5D6E-409C-BE32-E72D297353CC}">
              <c16:uniqueId val="{00000003-4259-436B-BFC1-54881887BB04}"/>
            </c:ext>
          </c:extLst>
        </c:ser>
        <c:ser>
          <c:idx val="4"/>
          <c:order val="4"/>
          <c:tx>
            <c:strRef>
              <c:f>'Input og output'!$AE$45</c:f>
              <c:strCache>
                <c:ptCount val="1"/>
                <c:pt idx="0">
                  <c:v>Fiberduk (produksjon)</c:v>
                </c:pt>
              </c:strCache>
            </c:strRef>
          </c:tx>
          <c:spPr>
            <a:solidFill>
              <a:schemeClr val="accent5">
                <a:lumMod val="60000"/>
              </a:schemeClr>
            </a:solidFill>
            <a:ln>
              <a:noFill/>
            </a:ln>
            <a:effectLst/>
          </c:spPr>
          <c:invertIfNegative val="0"/>
          <c:cat>
            <c:strRef>
              <c:f>('Input og output'!$AK$40,'Input og output'!$AN$40,'Input og output'!$AP$40)</c:f>
              <c:strCache>
                <c:ptCount val="3"/>
                <c:pt idx="0">
                  <c:v>Scenario 1</c:v>
                </c:pt>
                <c:pt idx="1">
                  <c:v>Scenario 2</c:v>
                </c:pt>
                <c:pt idx="2">
                  <c:v>Scenario 3</c:v>
                </c:pt>
              </c:strCache>
            </c:strRef>
          </c:cat>
          <c:val>
            <c:numRef>
              <c:f>('Input og output'!$AK$45,'Input og output'!$AN$45,'Input og output'!$AP$45)</c:f>
              <c:numCache>
                <c:formatCode>0.00</c:formatCode>
                <c:ptCount val="3"/>
                <c:pt idx="0">
                  <c:v>0</c:v>
                </c:pt>
                <c:pt idx="1">
                  <c:v>0</c:v>
                </c:pt>
                <c:pt idx="2">
                  <c:v>0</c:v>
                </c:pt>
              </c:numCache>
            </c:numRef>
          </c:val>
          <c:extLst>
            <c:ext xmlns:c16="http://schemas.microsoft.com/office/drawing/2014/chart" uri="{C3380CC4-5D6E-409C-BE32-E72D297353CC}">
              <c16:uniqueId val="{00000004-4259-436B-BFC1-54881887BB04}"/>
            </c:ext>
          </c:extLst>
        </c:ser>
        <c:dLbls>
          <c:showLegendKey val="0"/>
          <c:showVal val="0"/>
          <c:showCatName val="0"/>
          <c:showSerName val="0"/>
          <c:showPercent val="0"/>
          <c:showBubbleSize val="0"/>
        </c:dLbls>
        <c:gapWidth val="150"/>
        <c:overlap val="100"/>
        <c:axId val="1003031024"/>
        <c:axId val="1003015216"/>
      </c:barChart>
      <c:catAx>
        <c:axId val="10030310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nb-NO"/>
          </a:p>
        </c:txPr>
        <c:crossAx val="1003015216"/>
        <c:crosses val="autoZero"/>
        <c:auto val="1"/>
        <c:lblAlgn val="ctr"/>
        <c:lblOffset val="100"/>
        <c:noMultiLvlLbl val="0"/>
      </c:catAx>
      <c:valAx>
        <c:axId val="1003015216"/>
        <c:scaling>
          <c:orientation val="minMax"/>
        </c:scaling>
        <c:delete val="0"/>
        <c:axPos val="t"/>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nb-NO"/>
          </a:p>
        </c:txPr>
        <c:crossAx val="1003031024"/>
        <c:crosses val="autoZero"/>
        <c:crossBetween val="between"/>
      </c:valAx>
      <c:spPr>
        <a:noFill/>
        <a:ln>
          <a:noFill/>
        </a:ln>
        <a:effectLst/>
      </c:spPr>
    </c:plotArea>
    <c:legend>
      <c:legendPos val="b"/>
      <c:layout>
        <c:manualLayout>
          <c:xMode val="edge"/>
          <c:yMode val="edge"/>
          <c:x val="1.0471253939594527E-2"/>
          <c:y val="0.90601691720079336"/>
          <c:w val="0.98295043645806746"/>
          <c:h val="8.0971427634706494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noFill/>
    <a:ln w="9525" cap="flat" cmpd="sng" algn="ctr">
      <a:noFill/>
      <a:round/>
    </a:ln>
    <a:effectLst/>
  </c:spPr>
  <c:txPr>
    <a:bodyPr/>
    <a:lstStyle/>
    <a:p>
      <a:pPr>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chart" Target="../charts/chart10.xml"/><Relationship Id="rId3" Type="http://schemas.openxmlformats.org/officeDocument/2006/relationships/image" Target="../media/image8.png"/><Relationship Id="rId7" Type="http://schemas.openxmlformats.org/officeDocument/2006/relationships/chart" Target="../charts/chart4.xml"/><Relationship Id="rId12" Type="http://schemas.openxmlformats.org/officeDocument/2006/relationships/chart" Target="../charts/chart9.xml"/><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chart" Target="../charts/chart3.xml"/><Relationship Id="rId11" Type="http://schemas.openxmlformats.org/officeDocument/2006/relationships/chart" Target="../charts/chart8.xml"/><Relationship Id="rId5" Type="http://schemas.openxmlformats.org/officeDocument/2006/relationships/chart" Target="../charts/chart2.xml"/><Relationship Id="rId10" Type="http://schemas.openxmlformats.org/officeDocument/2006/relationships/chart" Target="../charts/chart7.xml"/><Relationship Id="rId4" Type="http://schemas.openxmlformats.org/officeDocument/2006/relationships/chart" Target="../charts/chart1.xml"/><Relationship Id="rId9" Type="http://schemas.openxmlformats.org/officeDocument/2006/relationships/chart" Target="../charts/chart6.xml"/><Relationship Id="rId14"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7" Type="http://schemas.openxmlformats.org/officeDocument/2006/relationships/image" Target="../media/image12.png"/><Relationship Id="rId2" Type="http://schemas.openxmlformats.org/officeDocument/2006/relationships/image" Target="../media/image6.png"/><Relationship Id="rId1" Type="http://schemas.openxmlformats.org/officeDocument/2006/relationships/image" Target="../media/image8.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2</xdr:col>
      <xdr:colOff>95249</xdr:colOff>
      <xdr:row>22</xdr:row>
      <xdr:rowOff>0</xdr:rowOff>
    </xdr:from>
    <xdr:to>
      <xdr:col>6</xdr:col>
      <xdr:colOff>81802</xdr:colOff>
      <xdr:row>32</xdr:row>
      <xdr:rowOff>171450</xdr:rowOff>
    </xdr:to>
    <xdr:pic>
      <xdr:nvPicPr>
        <xdr:cNvPr id="2" name="Picture 1" descr="Graphical user interface&#10;&#10;Description automatically generated with low confidenc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299" y="6257925"/>
          <a:ext cx="5130053" cy="2076450"/>
        </a:xfrm>
        <a:prstGeom prst="rect">
          <a:avLst/>
        </a:prstGeom>
        <a:noFill/>
      </xdr:spPr>
    </xdr:pic>
    <xdr:clientData/>
  </xdr:twoCellAnchor>
  <xdr:twoCellAnchor>
    <xdr:from>
      <xdr:col>3</xdr:col>
      <xdr:colOff>5067300</xdr:colOff>
      <xdr:row>23</xdr:row>
      <xdr:rowOff>114300</xdr:rowOff>
    </xdr:from>
    <xdr:to>
      <xdr:col>3</xdr:col>
      <xdr:colOff>6210300</xdr:colOff>
      <xdr:row>25</xdr:row>
      <xdr:rowOff>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5562600" y="6562725"/>
          <a:ext cx="11430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Gjenfylling</a:t>
          </a:r>
        </a:p>
        <a:p>
          <a:endParaRPr lang="nb-NO" sz="1100"/>
        </a:p>
      </xdr:txBody>
    </xdr:sp>
    <xdr:clientData/>
  </xdr:twoCellAnchor>
  <xdr:twoCellAnchor>
    <xdr:from>
      <xdr:col>3</xdr:col>
      <xdr:colOff>5048250</xdr:colOff>
      <xdr:row>26</xdr:row>
      <xdr:rowOff>47625</xdr:rowOff>
    </xdr:from>
    <xdr:to>
      <xdr:col>3</xdr:col>
      <xdr:colOff>6191250</xdr:colOff>
      <xdr:row>27</xdr:row>
      <xdr:rowOff>95250</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5543550" y="7067550"/>
          <a:ext cx="1143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Beskyttelseslag</a:t>
          </a:r>
        </a:p>
        <a:p>
          <a:endParaRPr lang="nb-NO" sz="1100"/>
        </a:p>
        <a:p>
          <a:endParaRPr lang="nb-NO" sz="1100"/>
        </a:p>
      </xdr:txBody>
    </xdr:sp>
    <xdr:clientData/>
  </xdr:twoCellAnchor>
  <xdr:twoCellAnchor>
    <xdr:from>
      <xdr:col>3</xdr:col>
      <xdr:colOff>5057775</xdr:colOff>
      <xdr:row>28</xdr:row>
      <xdr:rowOff>123825</xdr:rowOff>
    </xdr:from>
    <xdr:to>
      <xdr:col>3</xdr:col>
      <xdr:colOff>6200775</xdr:colOff>
      <xdr:row>30</xdr:row>
      <xdr:rowOff>19050</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5553075" y="7524750"/>
          <a:ext cx="11430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Sidefylling</a:t>
          </a:r>
        </a:p>
        <a:p>
          <a:endParaRPr lang="nb-NO" sz="1100"/>
        </a:p>
      </xdr:txBody>
    </xdr:sp>
    <xdr:clientData/>
  </xdr:twoCellAnchor>
  <xdr:twoCellAnchor>
    <xdr:from>
      <xdr:col>3</xdr:col>
      <xdr:colOff>5067300</xdr:colOff>
      <xdr:row>31</xdr:row>
      <xdr:rowOff>76200</xdr:rowOff>
    </xdr:from>
    <xdr:to>
      <xdr:col>3</xdr:col>
      <xdr:colOff>6210300</xdr:colOff>
      <xdr:row>32</xdr:row>
      <xdr:rowOff>66675</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5562600" y="8048625"/>
          <a:ext cx="1143000"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Fundament</a:t>
          </a:r>
        </a:p>
        <a:p>
          <a:endParaRPr lang="nb-NO" sz="1100"/>
        </a:p>
        <a:p>
          <a:endParaRPr lang="nb-NO" sz="1100"/>
        </a:p>
      </xdr:txBody>
    </xdr:sp>
    <xdr:clientData/>
  </xdr:twoCellAnchor>
  <xdr:twoCellAnchor>
    <xdr:from>
      <xdr:col>3</xdr:col>
      <xdr:colOff>6143625</xdr:colOff>
      <xdr:row>27</xdr:row>
      <xdr:rowOff>104775</xdr:rowOff>
    </xdr:from>
    <xdr:to>
      <xdr:col>3</xdr:col>
      <xdr:colOff>6391275</xdr:colOff>
      <xdr:row>34</xdr:row>
      <xdr:rowOff>28575</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rot="5400000">
          <a:off x="6134100" y="7820025"/>
          <a:ext cx="12573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Omfylling</a:t>
          </a:r>
        </a:p>
        <a:p>
          <a:endParaRPr lang="nb-NO" sz="1100"/>
        </a:p>
        <a:p>
          <a:endParaRPr lang="nb-NO" sz="1100"/>
        </a:p>
        <a:p>
          <a:endParaRPr lang="nb-NO" sz="1100"/>
        </a:p>
      </xdr:txBody>
    </xdr:sp>
    <xdr:clientData/>
  </xdr:twoCellAnchor>
  <xdr:twoCellAnchor>
    <xdr:from>
      <xdr:col>3</xdr:col>
      <xdr:colOff>6381750</xdr:colOff>
      <xdr:row>27</xdr:row>
      <xdr:rowOff>114300</xdr:rowOff>
    </xdr:from>
    <xdr:to>
      <xdr:col>4</xdr:col>
      <xdr:colOff>0</xdr:colOff>
      <xdr:row>34</xdr:row>
      <xdr:rowOff>38100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rot="5400000">
          <a:off x="6372225" y="7829550"/>
          <a:ext cx="12573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Ledningssone</a:t>
          </a:r>
        </a:p>
        <a:p>
          <a:endParaRPr lang="nb-NO" sz="1100"/>
        </a:p>
        <a:p>
          <a:endParaRPr lang="nb-NO" sz="1100"/>
        </a:p>
        <a:p>
          <a:endParaRPr lang="nb-NO" sz="1100"/>
        </a:p>
        <a:p>
          <a:endParaRPr lang="nb-NO" sz="1100"/>
        </a:p>
      </xdr:txBody>
    </xdr:sp>
    <xdr:clientData/>
  </xdr:twoCellAnchor>
  <xdr:twoCellAnchor>
    <xdr:from>
      <xdr:col>8</xdr:col>
      <xdr:colOff>35092</xdr:colOff>
      <xdr:row>26</xdr:row>
      <xdr:rowOff>85223</xdr:rowOff>
    </xdr:from>
    <xdr:to>
      <xdr:col>8</xdr:col>
      <xdr:colOff>35094</xdr:colOff>
      <xdr:row>31</xdr:row>
      <xdr:rowOff>150394</xdr:rowOff>
    </xdr:to>
    <xdr:cxnSp macro="">
      <xdr:nvCxnSpPr>
        <xdr:cNvPr id="10" name="Straight Arrow Connector 9">
          <a:extLst>
            <a:ext uri="{FF2B5EF4-FFF2-40B4-BE49-F238E27FC236}">
              <a16:creationId xmlns:a16="http://schemas.microsoft.com/office/drawing/2014/main" id="{00000000-0008-0000-0100-00000A000000}"/>
            </a:ext>
          </a:extLst>
        </xdr:cNvPr>
        <xdr:cNvCxnSpPr/>
      </xdr:nvCxnSpPr>
      <xdr:spPr>
        <a:xfrm flipH="1">
          <a:off x="6632408" y="6587289"/>
          <a:ext cx="2" cy="1017671"/>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360948</xdr:colOff>
      <xdr:row>26</xdr:row>
      <xdr:rowOff>80210</xdr:rowOff>
    </xdr:from>
    <xdr:to>
      <xdr:col>8</xdr:col>
      <xdr:colOff>360948</xdr:colOff>
      <xdr:row>32</xdr:row>
      <xdr:rowOff>90236</xdr:rowOff>
    </xdr:to>
    <xdr:cxnSp macro="">
      <xdr:nvCxnSpPr>
        <xdr:cNvPr id="13" name="Straight Arrow Connector 12">
          <a:extLst>
            <a:ext uri="{FF2B5EF4-FFF2-40B4-BE49-F238E27FC236}">
              <a16:creationId xmlns:a16="http://schemas.microsoft.com/office/drawing/2014/main" id="{00000000-0008-0000-0100-00000D000000}"/>
            </a:ext>
          </a:extLst>
        </xdr:cNvPr>
        <xdr:cNvCxnSpPr/>
      </xdr:nvCxnSpPr>
      <xdr:spPr>
        <a:xfrm>
          <a:off x="6958264" y="6582276"/>
          <a:ext cx="0" cy="1153026"/>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0</xdr:colOff>
      <xdr:row>35</xdr:row>
      <xdr:rowOff>0</xdr:rowOff>
    </xdr:from>
    <xdr:to>
      <xdr:col>7</xdr:col>
      <xdr:colOff>543560</xdr:colOff>
      <xdr:row>50</xdr:row>
      <xdr:rowOff>99060</xdr:rowOff>
    </xdr:to>
    <xdr:pic>
      <xdr:nvPicPr>
        <xdr:cNvPr id="15" name="Picture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8231" y="8733692"/>
          <a:ext cx="6163310" cy="2956560"/>
        </a:xfrm>
        <a:prstGeom prst="rect">
          <a:avLst/>
        </a:prstGeom>
        <a:noFill/>
      </xdr:spPr>
    </xdr:pic>
    <xdr:clientData/>
  </xdr:twoCellAnchor>
  <xdr:oneCellAnchor>
    <xdr:from>
      <xdr:col>6</xdr:col>
      <xdr:colOff>150395</xdr:colOff>
      <xdr:row>23</xdr:row>
      <xdr:rowOff>125330</xdr:rowOff>
    </xdr:from>
    <xdr:ext cx="796308" cy="264560"/>
    <xdr:sp macro="" textlink="">
      <xdr:nvSpPr>
        <xdr:cNvPr id="21" name="TextBox 20">
          <a:extLst>
            <a:ext uri="{FF2B5EF4-FFF2-40B4-BE49-F238E27FC236}">
              <a16:creationId xmlns:a16="http://schemas.microsoft.com/office/drawing/2014/main" id="{00000000-0008-0000-0100-000015000000}"/>
            </a:ext>
          </a:extLst>
        </xdr:cNvPr>
        <xdr:cNvSpPr txBox="1"/>
      </xdr:nvSpPr>
      <xdr:spPr>
        <a:xfrm>
          <a:off x="5554579" y="6055896"/>
          <a:ext cx="79630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b-NO" sz="1100"/>
            <a:t>Gjenfylling</a:t>
          </a:r>
        </a:p>
      </xdr:txBody>
    </xdr:sp>
    <xdr:clientData/>
  </xdr:oneCellAnchor>
  <xdr:oneCellAnchor>
    <xdr:from>
      <xdr:col>6</xdr:col>
      <xdr:colOff>152401</xdr:colOff>
      <xdr:row>26</xdr:row>
      <xdr:rowOff>37097</xdr:rowOff>
    </xdr:from>
    <xdr:ext cx="1058751" cy="264560"/>
    <xdr:sp macro="" textlink="">
      <xdr:nvSpPr>
        <xdr:cNvPr id="22" name="TextBox 21">
          <a:extLst>
            <a:ext uri="{FF2B5EF4-FFF2-40B4-BE49-F238E27FC236}">
              <a16:creationId xmlns:a16="http://schemas.microsoft.com/office/drawing/2014/main" id="{00000000-0008-0000-0100-000016000000}"/>
            </a:ext>
          </a:extLst>
        </xdr:cNvPr>
        <xdr:cNvSpPr txBox="1"/>
      </xdr:nvSpPr>
      <xdr:spPr>
        <a:xfrm>
          <a:off x="5556585" y="6539163"/>
          <a:ext cx="105875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b-NO" sz="1100"/>
            <a:t>Beskyttelseslag</a:t>
          </a:r>
        </a:p>
      </xdr:txBody>
    </xdr:sp>
    <xdr:clientData/>
  </xdr:oneCellAnchor>
  <xdr:oneCellAnchor>
    <xdr:from>
      <xdr:col>6</xdr:col>
      <xdr:colOff>145382</xdr:colOff>
      <xdr:row>28</xdr:row>
      <xdr:rowOff>95250</xdr:rowOff>
    </xdr:from>
    <xdr:ext cx="770788" cy="264560"/>
    <xdr:sp macro="" textlink="">
      <xdr:nvSpPr>
        <xdr:cNvPr id="23" name="TextBox 22">
          <a:extLst>
            <a:ext uri="{FF2B5EF4-FFF2-40B4-BE49-F238E27FC236}">
              <a16:creationId xmlns:a16="http://schemas.microsoft.com/office/drawing/2014/main" id="{00000000-0008-0000-0100-000017000000}"/>
            </a:ext>
          </a:extLst>
        </xdr:cNvPr>
        <xdr:cNvSpPr txBox="1"/>
      </xdr:nvSpPr>
      <xdr:spPr>
        <a:xfrm>
          <a:off x="5549566" y="6978316"/>
          <a:ext cx="77078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b-NO" sz="1100"/>
            <a:t>Sidefylling</a:t>
          </a:r>
        </a:p>
      </xdr:txBody>
    </xdr:sp>
    <xdr:clientData/>
  </xdr:oneCellAnchor>
  <xdr:oneCellAnchor>
    <xdr:from>
      <xdr:col>6</xdr:col>
      <xdr:colOff>155408</xdr:colOff>
      <xdr:row>31</xdr:row>
      <xdr:rowOff>70185</xdr:rowOff>
    </xdr:from>
    <xdr:ext cx="843693" cy="264560"/>
    <xdr:sp macro="" textlink="">
      <xdr:nvSpPr>
        <xdr:cNvPr id="24" name="TextBox 23">
          <a:extLst>
            <a:ext uri="{FF2B5EF4-FFF2-40B4-BE49-F238E27FC236}">
              <a16:creationId xmlns:a16="http://schemas.microsoft.com/office/drawing/2014/main" id="{00000000-0008-0000-0100-000018000000}"/>
            </a:ext>
          </a:extLst>
        </xdr:cNvPr>
        <xdr:cNvSpPr txBox="1"/>
      </xdr:nvSpPr>
      <xdr:spPr>
        <a:xfrm>
          <a:off x="5559592" y="7524751"/>
          <a:ext cx="84369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b-NO" sz="1100"/>
            <a:t>Fundament</a:t>
          </a:r>
        </a:p>
      </xdr:txBody>
    </xdr:sp>
    <xdr:clientData/>
  </xdr:oneCellAnchor>
  <xdr:oneCellAnchor>
    <xdr:from>
      <xdr:col>7</xdr:col>
      <xdr:colOff>536407</xdr:colOff>
      <xdr:row>27</xdr:row>
      <xdr:rowOff>4836</xdr:rowOff>
    </xdr:from>
    <xdr:ext cx="416020" cy="832361"/>
    <xdr:sp macro="" textlink="">
      <xdr:nvSpPr>
        <xdr:cNvPr id="26" name="TextBox 25">
          <a:extLst>
            <a:ext uri="{FF2B5EF4-FFF2-40B4-BE49-F238E27FC236}">
              <a16:creationId xmlns:a16="http://schemas.microsoft.com/office/drawing/2014/main" id="{00000000-0008-0000-0100-00001A000000}"/>
            </a:ext>
          </a:extLst>
        </xdr:cNvPr>
        <xdr:cNvSpPr txBox="1"/>
      </xdr:nvSpPr>
      <xdr:spPr>
        <a:xfrm rot="5400000">
          <a:off x="6303920" y="6905573"/>
          <a:ext cx="832361" cy="4160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100"/>
            <a:t>Omfylling</a:t>
          </a:r>
        </a:p>
      </xdr:txBody>
    </xdr:sp>
    <xdr:clientData/>
  </xdr:oneCellAnchor>
  <xdr:oneCellAnchor>
    <xdr:from>
      <xdr:col>8</xdr:col>
      <xdr:colOff>202530</xdr:colOff>
      <xdr:row>27</xdr:row>
      <xdr:rowOff>1830</xdr:rowOff>
    </xdr:from>
    <xdr:ext cx="416020" cy="990778"/>
    <xdr:sp macro="" textlink="">
      <xdr:nvSpPr>
        <xdr:cNvPr id="33" name="TextBox 32">
          <a:extLst>
            <a:ext uri="{FF2B5EF4-FFF2-40B4-BE49-F238E27FC236}">
              <a16:creationId xmlns:a16="http://schemas.microsoft.com/office/drawing/2014/main" id="{00000000-0008-0000-0100-000021000000}"/>
            </a:ext>
          </a:extLst>
        </xdr:cNvPr>
        <xdr:cNvSpPr txBox="1"/>
      </xdr:nvSpPr>
      <xdr:spPr>
        <a:xfrm rot="5400000">
          <a:off x="6512467" y="6981775"/>
          <a:ext cx="990778" cy="4160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100"/>
            <a:t>Ledningssone</a:t>
          </a:r>
        </a:p>
      </xdr:txBody>
    </xdr:sp>
    <xdr:clientData/>
  </xdr:oneCellAnchor>
  <xdr:twoCellAnchor editAs="oneCell">
    <xdr:from>
      <xdr:col>20</xdr:col>
      <xdr:colOff>0</xdr:colOff>
      <xdr:row>5</xdr:row>
      <xdr:rowOff>0</xdr:rowOff>
    </xdr:from>
    <xdr:to>
      <xdr:col>21</xdr:col>
      <xdr:colOff>9888</xdr:colOff>
      <xdr:row>6</xdr:row>
      <xdr:rowOff>188050</xdr:rowOff>
    </xdr:to>
    <xdr:pic>
      <xdr:nvPicPr>
        <xdr:cNvPr id="35" name="Picture 34" descr="Shape, rectangle&#10;&#10;Description automatically generated">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321393" y="1660071"/>
          <a:ext cx="1547495" cy="596265"/>
        </a:xfrm>
        <a:prstGeom prst="rect">
          <a:avLst/>
        </a:prstGeom>
        <a:noFill/>
      </xdr:spPr>
    </xdr:pic>
    <xdr:clientData/>
  </xdr:twoCellAnchor>
  <xdr:twoCellAnchor editAs="oneCell">
    <xdr:from>
      <xdr:col>20</xdr:col>
      <xdr:colOff>0</xdr:colOff>
      <xdr:row>8</xdr:row>
      <xdr:rowOff>0</xdr:rowOff>
    </xdr:from>
    <xdr:to>
      <xdr:col>20</xdr:col>
      <xdr:colOff>1504315</xdr:colOff>
      <xdr:row>9</xdr:row>
      <xdr:rowOff>389255</xdr:rowOff>
    </xdr:to>
    <xdr:pic>
      <xdr:nvPicPr>
        <xdr:cNvPr id="36" name="Picture 35" descr="Shape, rectangle&#10;&#10;Description automatically generated">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4219464" y="2367643"/>
          <a:ext cx="1504315" cy="579755"/>
        </a:xfrm>
        <a:prstGeom prst="rect">
          <a:avLst/>
        </a:prstGeom>
        <a:noFill/>
      </xdr:spPr>
    </xdr:pic>
    <xdr:clientData/>
  </xdr:twoCellAnchor>
  <xdr:twoCellAnchor editAs="oneCell">
    <xdr:from>
      <xdr:col>20</xdr:col>
      <xdr:colOff>0</xdr:colOff>
      <xdr:row>10</xdr:row>
      <xdr:rowOff>0</xdr:rowOff>
    </xdr:from>
    <xdr:to>
      <xdr:col>20</xdr:col>
      <xdr:colOff>1527175</xdr:colOff>
      <xdr:row>11</xdr:row>
      <xdr:rowOff>139610</xdr:rowOff>
    </xdr:to>
    <xdr:pic>
      <xdr:nvPicPr>
        <xdr:cNvPr id="37" name="Picture 36" descr="Shape&#10;&#10;Description automatically generated with medium confidence">
          <a:extLst>
            <a:ext uri="{FF2B5EF4-FFF2-40B4-BE49-F238E27FC236}">
              <a16:creationId xmlns:a16="http://schemas.microsoft.com/office/drawing/2014/main" id="{00000000-0008-0000-0100-000025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049500" y="2966357"/>
          <a:ext cx="1527175" cy="58864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3175</xdr:colOff>
      <xdr:row>10</xdr:row>
      <xdr:rowOff>182004</xdr:rowOff>
    </xdr:from>
    <xdr:to>
      <xdr:col>16</xdr:col>
      <xdr:colOff>654050</xdr:colOff>
      <xdr:row>12</xdr:row>
      <xdr:rowOff>213310</xdr:rowOff>
    </xdr:to>
    <xdr:pic>
      <xdr:nvPicPr>
        <xdr:cNvPr id="28" name="Picture 27">
          <a:extLst>
            <a:ext uri="{FF2B5EF4-FFF2-40B4-BE49-F238E27FC236}">
              <a16:creationId xmlns:a16="http://schemas.microsoft.com/office/drawing/2014/main" id="{00000000-0008-0000-0200-00001C000000}"/>
            </a:ext>
          </a:extLst>
        </xdr:cNvPr>
        <xdr:cNvPicPr>
          <a:picLocks noChangeAspect="1"/>
        </xdr:cNvPicPr>
      </xdr:nvPicPr>
      <xdr:blipFill>
        <a:blip xmlns:r="http://schemas.openxmlformats.org/officeDocument/2006/relationships" r:embed="rId1"/>
        <a:stretch>
          <a:fillRect/>
        </a:stretch>
      </xdr:blipFill>
      <xdr:spPr>
        <a:xfrm>
          <a:off x="12004675" y="5595379"/>
          <a:ext cx="1254125" cy="475806"/>
        </a:xfrm>
        <a:prstGeom prst="rect">
          <a:avLst/>
        </a:prstGeom>
      </xdr:spPr>
    </xdr:pic>
    <xdr:clientData/>
  </xdr:twoCellAnchor>
  <xdr:twoCellAnchor editAs="oneCell">
    <xdr:from>
      <xdr:col>17</xdr:col>
      <xdr:colOff>400051</xdr:colOff>
      <xdr:row>10</xdr:row>
      <xdr:rowOff>152399</xdr:rowOff>
    </xdr:from>
    <xdr:to>
      <xdr:col>19</xdr:col>
      <xdr:colOff>57150</xdr:colOff>
      <xdr:row>12</xdr:row>
      <xdr:rowOff>183705</xdr:rowOff>
    </xdr:to>
    <xdr:pic>
      <xdr:nvPicPr>
        <xdr:cNvPr id="29" name="Picture 28">
          <a:extLst>
            <a:ext uri="{FF2B5EF4-FFF2-40B4-BE49-F238E27FC236}">
              <a16:creationId xmlns:a16="http://schemas.microsoft.com/office/drawing/2014/main" id="{00000000-0008-0000-0200-00001D000000}"/>
            </a:ext>
          </a:extLst>
        </xdr:cNvPr>
        <xdr:cNvPicPr>
          <a:picLocks noChangeAspect="1"/>
        </xdr:cNvPicPr>
      </xdr:nvPicPr>
      <xdr:blipFill>
        <a:blip xmlns:r="http://schemas.openxmlformats.org/officeDocument/2006/relationships" r:embed="rId2"/>
        <a:stretch>
          <a:fillRect/>
        </a:stretch>
      </xdr:blipFill>
      <xdr:spPr>
        <a:xfrm>
          <a:off x="10858501" y="5714999"/>
          <a:ext cx="1266824" cy="488506"/>
        </a:xfrm>
        <a:prstGeom prst="rect">
          <a:avLst/>
        </a:prstGeom>
      </xdr:spPr>
    </xdr:pic>
    <xdr:clientData/>
  </xdr:twoCellAnchor>
  <xdr:twoCellAnchor>
    <xdr:from>
      <xdr:col>15</xdr:col>
      <xdr:colOff>317500</xdr:colOff>
      <xdr:row>13</xdr:row>
      <xdr:rowOff>66675</xdr:rowOff>
    </xdr:from>
    <xdr:to>
      <xdr:col>15</xdr:col>
      <xdr:colOff>536575</xdr:colOff>
      <xdr:row>13</xdr:row>
      <xdr:rowOff>190500</xdr:rowOff>
    </xdr:to>
    <xdr:sp macro="" textlink="">
      <xdr:nvSpPr>
        <xdr:cNvPr id="31" name="Rectangle 30">
          <a:extLst>
            <a:ext uri="{FF2B5EF4-FFF2-40B4-BE49-F238E27FC236}">
              <a16:creationId xmlns:a16="http://schemas.microsoft.com/office/drawing/2014/main" id="{00000000-0008-0000-0200-00001F000000}"/>
            </a:ext>
          </a:extLst>
        </xdr:cNvPr>
        <xdr:cNvSpPr/>
      </xdr:nvSpPr>
      <xdr:spPr>
        <a:xfrm>
          <a:off x="13033375" y="3035300"/>
          <a:ext cx="219075" cy="123825"/>
        </a:xfrm>
        <a:prstGeom prst="rect">
          <a:avLst/>
        </a:prstGeom>
        <a:solidFill>
          <a:schemeClr val="accent4"/>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18</xdr:col>
      <xdr:colOff>15586</xdr:colOff>
      <xdr:row>13</xdr:row>
      <xdr:rowOff>55707</xdr:rowOff>
    </xdr:from>
    <xdr:to>
      <xdr:col>18</xdr:col>
      <xdr:colOff>234661</xdr:colOff>
      <xdr:row>13</xdr:row>
      <xdr:rowOff>179532</xdr:rowOff>
    </xdr:to>
    <xdr:sp macro="" textlink="">
      <xdr:nvSpPr>
        <xdr:cNvPr id="32" name="Rectangle 31">
          <a:extLst>
            <a:ext uri="{FF2B5EF4-FFF2-40B4-BE49-F238E27FC236}">
              <a16:creationId xmlns:a16="http://schemas.microsoft.com/office/drawing/2014/main" id="{00000000-0008-0000-0200-000020000000}"/>
            </a:ext>
          </a:extLst>
        </xdr:cNvPr>
        <xdr:cNvSpPr/>
      </xdr:nvSpPr>
      <xdr:spPr>
        <a:xfrm>
          <a:off x="14580177" y="3069071"/>
          <a:ext cx="219075" cy="123825"/>
        </a:xfrm>
        <a:prstGeom prst="rect">
          <a:avLst/>
        </a:prstGeom>
        <a:solidFill>
          <a:schemeClr val="accent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10</xdr:col>
      <xdr:colOff>63500</xdr:colOff>
      <xdr:row>13</xdr:row>
      <xdr:rowOff>50800</xdr:rowOff>
    </xdr:from>
    <xdr:to>
      <xdr:col>10</xdr:col>
      <xdr:colOff>282575</xdr:colOff>
      <xdr:row>13</xdr:row>
      <xdr:rowOff>174625</xdr:rowOff>
    </xdr:to>
    <xdr:sp macro="" textlink="">
      <xdr:nvSpPr>
        <xdr:cNvPr id="7" name="Rectangle 6">
          <a:extLst>
            <a:ext uri="{FF2B5EF4-FFF2-40B4-BE49-F238E27FC236}">
              <a16:creationId xmlns:a16="http://schemas.microsoft.com/office/drawing/2014/main" id="{00000000-0008-0000-0200-000007000000}"/>
            </a:ext>
          </a:extLst>
        </xdr:cNvPr>
        <xdr:cNvSpPr/>
      </xdr:nvSpPr>
      <xdr:spPr>
        <a:xfrm>
          <a:off x="10493375" y="3019425"/>
          <a:ext cx="219075" cy="123825"/>
        </a:xfrm>
        <a:prstGeom prst="rect">
          <a:avLst/>
        </a:prstGeom>
        <a:solidFill>
          <a:schemeClr val="bg1">
            <a:lumMod val="9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editAs="oneCell">
    <xdr:from>
      <xdr:col>5</xdr:col>
      <xdr:colOff>0</xdr:colOff>
      <xdr:row>46</xdr:row>
      <xdr:rowOff>0</xdr:rowOff>
    </xdr:from>
    <xdr:to>
      <xdr:col>6</xdr:col>
      <xdr:colOff>275324</xdr:colOff>
      <xdr:row>48</xdr:row>
      <xdr:rowOff>43229</xdr:rowOff>
    </xdr:to>
    <xdr:pic>
      <xdr:nvPicPr>
        <xdr:cNvPr id="23" name="Picture 22">
          <a:extLst>
            <a:ext uri="{FF2B5EF4-FFF2-40B4-BE49-F238E27FC236}">
              <a16:creationId xmlns:a16="http://schemas.microsoft.com/office/drawing/2014/main" id="{00000000-0008-0000-0200-000017000000}"/>
            </a:ext>
          </a:extLst>
        </xdr:cNvPr>
        <xdr:cNvPicPr>
          <a:picLocks noChangeAspect="1"/>
        </xdr:cNvPicPr>
      </xdr:nvPicPr>
      <xdr:blipFill>
        <a:blip xmlns:r="http://schemas.openxmlformats.org/officeDocument/2006/relationships" r:embed="rId3"/>
        <a:stretch>
          <a:fillRect/>
        </a:stretch>
      </xdr:blipFill>
      <xdr:spPr>
        <a:xfrm>
          <a:off x="3895725" y="11868150"/>
          <a:ext cx="1272563" cy="481380"/>
        </a:xfrm>
        <a:prstGeom prst="rect">
          <a:avLst/>
        </a:prstGeom>
      </xdr:spPr>
    </xdr:pic>
    <xdr:clientData/>
  </xdr:twoCellAnchor>
  <xdr:twoCellAnchor editAs="oneCell">
    <xdr:from>
      <xdr:col>7</xdr:col>
      <xdr:colOff>0</xdr:colOff>
      <xdr:row>46</xdr:row>
      <xdr:rowOff>0</xdr:rowOff>
    </xdr:from>
    <xdr:to>
      <xdr:col>7</xdr:col>
      <xdr:colOff>1270000</xdr:colOff>
      <xdr:row>48</xdr:row>
      <xdr:rowOff>41017</xdr:rowOff>
    </xdr:to>
    <xdr:pic>
      <xdr:nvPicPr>
        <xdr:cNvPr id="24" name="Picture 23">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1"/>
        <a:stretch>
          <a:fillRect/>
        </a:stretch>
      </xdr:blipFill>
      <xdr:spPr>
        <a:xfrm>
          <a:off x="7515225" y="11868150"/>
          <a:ext cx="1266825" cy="479168"/>
        </a:xfrm>
        <a:prstGeom prst="rect">
          <a:avLst/>
        </a:prstGeom>
      </xdr:spPr>
    </xdr:pic>
    <xdr:clientData/>
  </xdr:twoCellAnchor>
  <xdr:twoCellAnchor editAs="oneCell">
    <xdr:from>
      <xdr:col>9</xdr:col>
      <xdr:colOff>0</xdr:colOff>
      <xdr:row>46</xdr:row>
      <xdr:rowOff>0</xdr:rowOff>
    </xdr:from>
    <xdr:to>
      <xdr:col>10</xdr:col>
      <xdr:colOff>118475</xdr:colOff>
      <xdr:row>48</xdr:row>
      <xdr:rowOff>41017</xdr:rowOff>
    </xdr:to>
    <xdr:pic>
      <xdr:nvPicPr>
        <xdr:cNvPr id="25" name="Picture 24">
          <a:extLst>
            <a:ext uri="{FF2B5EF4-FFF2-40B4-BE49-F238E27FC236}">
              <a16:creationId xmlns:a16="http://schemas.microsoft.com/office/drawing/2014/main" id="{00000000-0008-0000-0200-000019000000}"/>
            </a:ext>
          </a:extLst>
        </xdr:cNvPr>
        <xdr:cNvPicPr>
          <a:picLocks noChangeAspect="1"/>
        </xdr:cNvPicPr>
      </xdr:nvPicPr>
      <xdr:blipFill>
        <a:blip xmlns:r="http://schemas.openxmlformats.org/officeDocument/2006/relationships" r:embed="rId2"/>
        <a:stretch>
          <a:fillRect/>
        </a:stretch>
      </xdr:blipFill>
      <xdr:spPr>
        <a:xfrm>
          <a:off x="9544050" y="11868150"/>
          <a:ext cx="1268692" cy="479168"/>
        </a:xfrm>
        <a:prstGeom prst="rect">
          <a:avLst/>
        </a:prstGeom>
      </xdr:spPr>
    </xdr:pic>
    <xdr:clientData/>
  </xdr:twoCellAnchor>
  <xdr:twoCellAnchor>
    <xdr:from>
      <xdr:col>18</xdr:col>
      <xdr:colOff>0</xdr:colOff>
      <xdr:row>37</xdr:row>
      <xdr:rowOff>0</xdr:rowOff>
    </xdr:from>
    <xdr:to>
      <xdr:col>20</xdr:col>
      <xdr:colOff>176450</xdr:colOff>
      <xdr:row>42</xdr:row>
      <xdr:rowOff>51350</xdr:rowOff>
    </xdr:to>
    <xdr:graphicFrame macro="">
      <xdr:nvGraphicFramePr>
        <xdr:cNvPr id="35" name="Chart 34">
          <a:extLst>
            <a:ext uri="{FF2B5EF4-FFF2-40B4-BE49-F238E27FC236}">
              <a16:creationId xmlns:a16="http://schemas.microsoft.com/office/drawing/2014/main" id="{00000000-0008-0000-0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18</xdr:col>
      <xdr:colOff>0</xdr:colOff>
      <xdr:row>42</xdr:row>
      <xdr:rowOff>0</xdr:rowOff>
    </xdr:from>
    <xdr:to>
      <xdr:col>20</xdr:col>
      <xdr:colOff>176450</xdr:colOff>
      <xdr:row>47</xdr:row>
      <xdr:rowOff>45000</xdr:rowOff>
    </xdr:to>
    <xdr:graphicFrame macro="">
      <xdr:nvGraphicFramePr>
        <xdr:cNvPr id="37" name="Chart 36">
          <a:extLst>
            <a:ext uri="{FF2B5EF4-FFF2-40B4-BE49-F238E27FC236}">
              <a16:creationId xmlns:a16="http://schemas.microsoft.com/office/drawing/2014/main" id="{00000000-0008-0000-0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0</xdr:colOff>
      <xdr:row>51</xdr:row>
      <xdr:rowOff>0</xdr:rowOff>
    </xdr:from>
    <xdr:to>
      <xdr:col>14</xdr:col>
      <xdr:colOff>398700</xdr:colOff>
      <xdr:row>56</xdr:row>
      <xdr:rowOff>45000</xdr:rowOff>
    </xdr:to>
    <xdr:graphicFrame macro="">
      <xdr:nvGraphicFramePr>
        <xdr:cNvPr id="40" name="Chart 39">
          <a:extLst>
            <a:ext uri="{FF2B5EF4-FFF2-40B4-BE49-F238E27FC236}">
              <a16:creationId xmlns:a16="http://schemas.microsoft.com/office/drawing/2014/main" id="{00000000-0008-0000-02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0</xdr:colOff>
      <xdr:row>51</xdr:row>
      <xdr:rowOff>0</xdr:rowOff>
    </xdr:from>
    <xdr:to>
      <xdr:col>18</xdr:col>
      <xdr:colOff>176450</xdr:colOff>
      <xdr:row>56</xdr:row>
      <xdr:rowOff>45000</xdr:rowOff>
    </xdr:to>
    <xdr:graphicFrame macro="">
      <xdr:nvGraphicFramePr>
        <xdr:cNvPr id="41" name="Chart 40">
          <a:extLst>
            <a:ext uri="{FF2B5EF4-FFF2-40B4-BE49-F238E27FC236}">
              <a16:creationId xmlns:a16="http://schemas.microsoft.com/office/drawing/2014/main" id="{00000000-0008-0000-02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19</xdr:col>
      <xdr:colOff>0</xdr:colOff>
      <xdr:row>37</xdr:row>
      <xdr:rowOff>0</xdr:rowOff>
    </xdr:from>
    <xdr:to>
      <xdr:col>22</xdr:col>
      <xdr:colOff>21324</xdr:colOff>
      <xdr:row>39</xdr:row>
      <xdr:rowOff>43230</xdr:rowOff>
    </xdr:to>
    <xdr:pic>
      <xdr:nvPicPr>
        <xdr:cNvPr id="52" name="Picture 51">
          <a:extLst>
            <a:ext uri="{FF2B5EF4-FFF2-40B4-BE49-F238E27FC236}">
              <a16:creationId xmlns:a16="http://schemas.microsoft.com/office/drawing/2014/main" id="{00000000-0008-0000-0200-000034000000}"/>
            </a:ext>
          </a:extLst>
        </xdr:cNvPr>
        <xdr:cNvPicPr>
          <a:picLocks noChangeAspect="1"/>
        </xdr:cNvPicPr>
      </xdr:nvPicPr>
      <xdr:blipFill>
        <a:blip xmlns:r="http://schemas.openxmlformats.org/officeDocument/2006/relationships" r:embed="rId3"/>
        <a:stretch>
          <a:fillRect/>
        </a:stretch>
      </xdr:blipFill>
      <xdr:spPr>
        <a:xfrm>
          <a:off x="3757083" y="13874750"/>
          <a:ext cx="1277855" cy="508897"/>
        </a:xfrm>
        <a:prstGeom prst="rect">
          <a:avLst/>
        </a:prstGeom>
      </xdr:spPr>
    </xdr:pic>
    <xdr:clientData/>
  </xdr:twoCellAnchor>
  <xdr:twoCellAnchor editAs="oneCell">
    <xdr:from>
      <xdr:col>24</xdr:col>
      <xdr:colOff>0</xdr:colOff>
      <xdr:row>37</xdr:row>
      <xdr:rowOff>0</xdr:rowOff>
    </xdr:from>
    <xdr:to>
      <xdr:col>24</xdr:col>
      <xdr:colOff>1270000</xdr:colOff>
      <xdr:row>39</xdr:row>
      <xdr:rowOff>41018</xdr:rowOff>
    </xdr:to>
    <xdr:pic>
      <xdr:nvPicPr>
        <xdr:cNvPr id="53" name="Picture 52">
          <a:extLst>
            <a:ext uri="{FF2B5EF4-FFF2-40B4-BE49-F238E27FC236}">
              <a16:creationId xmlns:a16="http://schemas.microsoft.com/office/drawing/2014/main" id="{00000000-0008-0000-0200-000035000000}"/>
            </a:ext>
          </a:extLst>
        </xdr:cNvPr>
        <xdr:cNvPicPr>
          <a:picLocks noChangeAspect="1"/>
        </xdr:cNvPicPr>
      </xdr:nvPicPr>
      <xdr:blipFill>
        <a:blip xmlns:r="http://schemas.openxmlformats.org/officeDocument/2006/relationships" r:embed="rId1"/>
        <a:stretch>
          <a:fillRect/>
        </a:stretch>
      </xdr:blipFill>
      <xdr:spPr>
        <a:xfrm>
          <a:off x="5577417" y="13874750"/>
          <a:ext cx="1270000" cy="506685"/>
        </a:xfrm>
        <a:prstGeom prst="rect">
          <a:avLst/>
        </a:prstGeom>
      </xdr:spPr>
    </xdr:pic>
    <xdr:clientData/>
  </xdr:twoCellAnchor>
  <xdr:twoCellAnchor editAs="oneCell">
    <xdr:from>
      <xdr:col>26</xdr:col>
      <xdr:colOff>0</xdr:colOff>
      <xdr:row>37</xdr:row>
      <xdr:rowOff>0</xdr:rowOff>
    </xdr:from>
    <xdr:to>
      <xdr:col>27</xdr:col>
      <xdr:colOff>23225</xdr:colOff>
      <xdr:row>39</xdr:row>
      <xdr:rowOff>41018</xdr:rowOff>
    </xdr:to>
    <xdr:pic>
      <xdr:nvPicPr>
        <xdr:cNvPr id="54" name="Picture 53">
          <a:extLst>
            <a:ext uri="{FF2B5EF4-FFF2-40B4-BE49-F238E27FC236}">
              <a16:creationId xmlns:a16="http://schemas.microsoft.com/office/drawing/2014/main" id="{00000000-0008-0000-0200-000036000000}"/>
            </a:ext>
          </a:extLst>
        </xdr:cNvPr>
        <xdr:cNvPicPr>
          <a:picLocks noChangeAspect="1"/>
        </xdr:cNvPicPr>
      </xdr:nvPicPr>
      <xdr:blipFill>
        <a:blip xmlns:r="http://schemas.openxmlformats.org/officeDocument/2006/relationships" r:embed="rId2"/>
        <a:stretch>
          <a:fillRect/>
        </a:stretch>
      </xdr:blipFill>
      <xdr:spPr>
        <a:xfrm>
          <a:off x="8572500" y="13874750"/>
          <a:ext cx="1273984" cy="506685"/>
        </a:xfrm>
        <a:prstGeom prst="rect">
          <a:avLst/>
        </a:prstGeom>
      </xdr:spPr>
    </xdr:pic>
    <xdr:clientData/>
  </xdr:twoCellAnchor>
  <xdr:twoCellAnchor>
    <xdr:from>
      <xdr:col>32</xdr:col>
      <xdr:colOff>0</xdr:colOff>
      <xdr:row>53</xdr:row>
      <xdr:rowOff>0</xdr:rowOff>
    </xdr:from>
    <xdr:to>
      <xdr:col>34</xdr:col>
      <xdr:colOff>176450</xdr:colOff>
      <xdr:row>58</xdr:row>
      <xdr:rowOff>51350</xdr:rowOff>
    </xdr:to>
    <xdr:graphicFrame macro="">
      <xdr:nvGraphicFramePr>
        <xdr:cNvPr id="61" name="Chart 60">
          <a:extLst>
            <a:ext uri="{FF2B5EF4-FFF2-40B4-BE49-F238E27FC236}">
              <a16:creationId xmlns:a16="http://schemas.microsoft.com/office/drawing/2014/main" id="{00000000-0008-0000-0200-00003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31</xdr:col>
      <xdr:colOff>0</xdr:colOff>
      <xdr:row>57</xdr:row>
      <xdr:rowOff>0</xdr:rowOff>
    </xdr:from>
    <xdr:to>
      <xdr:col>34</xdr:col>
      <xdr:colOff>940594</xdr:colOff>
      <xdr:row>78</xdr:row>
      <xdr:rowOff>78281</xdr:rowOff>
    </xdr:to>
    <xdr:graphicFrame macro="">
      <xdr:nvGraphicFramePr>
        <xdr:cNvPr id="80" name="Chart 79">
          <a:extLst>
            <a:ext uri="{FF2B5EF4-FFF2-40B4-BE49-F238E27FC236}">
              <a16:creationId xmlns:a16="http://schemas.microsoft.com/office/drawing/2014/main" id="{00000000-0008-0000-0200-00005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30</xdr:col>
      <xdr:colOff>0</xdr:colOff>
      <xdr:row>57</xdr:row>
      <xdr:rowOff>3967</xdr:rowOff>
    </xdr:from>
    <xdr:to>
      <xdr:col>36</xdr:col>
      <xdr:colOff>261938</xdr:colOff>
      <xdr:row>78</xdr:row>
      <xdr:rowOff>47625</xdr:rowOff>
    </xdr:to>
    <xdr:graphicFrame macro="">
      <xdr:nvGraphicFramePr>
        <xdr:cNvPr id="82" name="Chart 81">
          <a:extLst>
            <a:ext uri="{FF2B5EF4-FFF2-40B4-BE49-F238E27FC236}">
              <a16:creationId xmlns:a16="http://schemas.microsoft.com/office/drawing/2014/main" id="{00000000-0008-0000-0200-00005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39</xdr:col>
      <xdr:colOff>0</xdr:colOff>
      <xdr:row>57</xdr:row>
      <xdr:rowOff>3967</xdr:rowOff>
    </xdr:from>
    <xdr:to>
      <xdr:col>44</xdr:col>
      <xdr:colOff>1333500</xdr:colOff>
      <xdr:row>78</xdr:row>
      <xdr:rowOff>79375</xdr:rowOff>
    </xdr:to>
    <xdr:graphicFrame macro="">
      <xdr:nvGraphicFramePr>
        <xdr:cNvPr id="84" name="Chart 83">
          <a:extLst>
            <a:ext uri="{FF2B5EF4-FFF2-40B4-BE49-F238E27FC236}">
              <a16:creationId xmlns:a16="http://schemas.microsoft.com/office/drawing/2014/main" id="{00000000-0008-0000-0200-00005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oneCellAnchor>
    <xdr:from>
      <xdr:col>10</xdr:col>
      <xdr:colOff>123824</xdr:colOff>
      <xdr:row>10</xdr:row>
      <xdr:rowOff>152400</xdr:rowOff>
    </xdr:from>
    <xdr:ext cx="1275737" cy="478018"/>
    <xdr:pic>
      <xdr:nvPicPr>
        <xdr:cNvPr id="38" name="Picture 37">
          <a:extLst>
            <a:ext uri="{FF2B5EF4-FFF2-40B4-BE49-F238E27FC236}">
              <a16:creationId xmlns:a16="http://schemas.microsoft.com/office/drawing/2014/main" id="{00000000-0008-0000-0200-000026000000}"/>
            </a:ext>
          </a:extLst>
        </xdr:cNvPr>
        <xdr:cNvPicPr>
          <a:picLocks noChangeAspect="1"/>
        </xdr:cNvPicPr>
      </xdr:nvPicPr>
      <xdr:blipFill>
        <a:blip xmlns:r="http://schemas.openxmlformats.org/officeDocument/2006/relationships" r:embed="rId3"/>
        <a:stretch>
          <a:fillRect/>
        </a:stretch>
      </xdr:blipFill>
      <xdr:spPr>
        <a:xfrm>
          <a:off x="11363324" y="2454275"/>
          <a:ext cx="1275737" cy="478018"/>
        </a:xfrm>
        <a:prstGeom prst="rect">
          <a:avLst/>
        </a:prstGeom>
      </xdr:spPr>
    </xdr:pic>
    <xdr:clientData/>
  </xdr:oneCellAnchor>
  <mc:AlternateContent xmlns:mc="http://schemas.openxmlformats.org/markup-compatibility/2006">
    <mc:Choice xmlns:a14="http://schemas.microsoft.com/office/drawing/2010/main" Requires="a14">
      <xdr:twoCellAnchor>
        <xdr:from>
          <xdr:col>48</xdr:col>
          <xdr:colOff>19050</xdr:colOff>
          <xdr:row>0</xdr:row>
          <xdr:rowOff>209550</xdr:rowOff>
        </xdr:from>
        <xdr:to>
          <xdr:col>52</xdr:col>
          <xdr:colOff>19050</xdr:colOff>
          <xdr:row>6</xdr:row>
          <xdr:rowOff>209550</xdr:rowOff>
        </xdr:to>
        <xdr:sp macro="" textlink="">
          <xdr:nvSpPr>
            <xdr:cNvPr id="1025" name="Button 1" descr="Eksporter til PDF"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nb-NO" sz="2000" b="1" i="0" u="none" strike="noStrike" baseline="0">
                  <a:solidFill>
                    <a:srgbClr val="FF0000"/>
                  </a:solidFill>
                  <a:latin typeface="Calibri"/>
                  <a:ea typeface="Calibri"/>
                  <a:cs typeface="Calibri"/>
                </a:rPr>
                <a:t>Eksporter til PDF</a:t>
              </a:r>
            </a:p>
            <a:p>
              <a:pPr algn="ctr" rtl="0">
                <a:defRPr sz="1000"/>
              </a:pPr>
              <a:endParaRPr lang="nb-NO" sz="2000" b="1" i="0" u="none" strike="noStrike" baseline="0">
                <a:solidFill>
                  <a:srgbClr val="FF0000"/>
                </a:solidFill>
                <a:latin typeface="Calibri"/>
                <a:ea typeface="Calibri"/>
                <a:cs typeface="Calibri"/>
              </a:endParaRPr>
            </a:p>
          </xdr:txBody>
        </xdr:sp>
        <xdr:clientData fPrintsWithSheet="0"/>
      </xdr:twoCellAnchor>
    </mc:Choice>
    <mc:Fallback/>
  </mc:AlternateContent>
  <xdr:twoCellAnchor>
    <xdr:from>
      <xdr:col>28</xdr:col>
      <xdr:colOff>152400</xdr:colOff>
      <xdr:row>52</xdr:row>
      <xdr:rowOff>114300</xdr:rowOff>
    </xdr:from>
    <xdr:to>
      <xdr:col>44</xdr:col>
      <xdr:colOff>841374</xdr:colOff>
      <xdr:row>78</xdr:row>
      <xdr:rowOff>142875</xdr:rowOff>
    </xdr:to>
    <xdr:graphicFrame macro="">
      <xdr:nvGraphicFramePr>
        <xdr:cNvPr id="12" name="Chart 11">
          <a:extLst>
            <a:ext uri="{FF2B5EF4-FFF2-40B4-BE49-F238E27FC236}">
              <a16:creationId xmlns:a16="http://schemas.microsoft.com/office/drawing/2014/main" id="{00000000-0008-0000-02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13</xdr:col>
      <xdr:colOff>15875</xdr:colOff>
      <xdr:row>52</xdr:row>
      <xdr:rowOff>111125</xdr:rowOff>
    </xdr:from>
    <xdr:to>
      <xdr:col>27</xdr:col>
      <xdr:colOff>1254125</xdr:colOff>
      <xdr:row>78</xdr:row>
      <xdr:rowOff>174624</xdr:rowOff>
    </xdr:to>
    <xdr:graphicFrame macro="">
      <xdr:nvGraphicFramePr>
        <xdr:cNvPr id="13" name="Chart 12">
          <a:extLst>
            <a:ext uri="{FF2B5EF4-FFF2-40B4-BE49-F238E27FC236}">
              <a16:creationId xmlns:a16="http://schemas.microsoft.com/office/drawing/2014/main" id="{00000000-0008-0000-02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xdr:col>
      <xdr:colOff>55562</xdr:colOff>
      <xdr:row>61</xdr:row>
      <xdr:rowOff>15874</xdr:rowOff>
    </xdr:from>
    <xdr:to>
      <xdr:col>11</xdr:col>
      <xdr:colOff>95251</xdr:colOff>
      <xdr:row>78</xdr:row>
      <xdr:rowOff>158749</xdr:rowOff>
    </xdr:to>
    <xdr:graphicFrame macro="">
      <xdr:nvGraphicFramePr>
        <xdr:cNvPr id="17" name="Chart 16">
          <a:extLst>
            <a:ext uri="{FF2B5EF4-FFF2-40B4-BE49-F238E27FC236}">
              <a16:creationId xmlns:a16="http://schemas.microsoft.com/office/drawing/2014/main" id="{00000000-0008-0000-0200-00001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oneCellAnchor>
    <xdr:from>
      <xdr:col>36</xdr:col>
      <xdr:colOff>0</xdr:colOff>
      <xdr:row>37</xdr:row>
      <xdr:rowOff>0</xdr:rowOff>
    </xdr:from>
    <xdr:ext cx="1288438" cy="500430"/>
    <xdr:pic>
      <xdr:nvPicPr>
        <xdr:cNvPr id="49" name="Picture 48">
          <a:extLst>
            <a:ext uri="{FF2B5EF4-FFF2-40B4-BE49-F238E27FC236}">
              <a16:creationId xmlns:a16="http://schemas.microsoft.com/office/drawing/2014/main" id="{00000000-0008-0000-0200-000031000000}"/>
            </a:ext>
          </a:extLst>
        </xdr:cNvPr>
        <xdr:cNvPicPr>
          <a:picLocks noChangeAspect="1"/>
        </xdr:cNvPicPr>
      </xdr:nvPicPr>
      <xdr:blipFill>
        <a:blip xmlns:r="http://schemas.openxmlformats.org/officeDocument/2006/relationships" r:embed="rId3"/>
        <a:stretch>
          <a:fillRect/>
        </a:stretch>
      </xdr:blipFill>
      <xdr:spPr>
        <a:xfrm>
          <a:off x="27511375" y="8318500"/>
          <a:ext cx="1288438" cy="500430"/>
        </a:xfrm>
        <a:prstGeom prst="rect">
          <a:avLst/>
        </a:prstGeom>
      </xdr:spPr>
    </xdr:pic>
    <xdr:clientData/>
  </xdr:oneCellAnchor>
  <xdr:oneCellAnchor>
    <xdr:from>
      <xdr:col>39</xdr:col>
      <xdr:colOff>0</xdr:colOff>
      <xdr:row>37</xdr:row>
      <xdr:rowOff>0</xdr:rowOff>
    </xdr:from>
    <xdr:ext cx="1294937" cy="508001"/>
    <xdr:pic>
      <xdr:nvPicPr>
        <xdr:cNvPr id="36" name="Picture 35">
          <a:extLst>
            <a:ext uri="{FF2B5EF4-FFF2-40B4-BE49-F238E27FC236}">
              <a16:creationId xmlns:a16="http://schemas.microsoft.com/office/drawing/2014/main" id="{00000000-0008-0000-0200-000024000000}"/>
            </a:ext>
          </a:extLst>
        </xdr:cNvPr>
        <xdr:cNvPicPr>
          <a:picLocks noChangeAspect="1"/>
        </xdr:cNvPicPr>
      </xdr:nvPicPr>
      <xdr:blipFill>
        <a:blip xmlns:r="http://schemas.openxmlformats.org/officeDocument/2006/relationships" r:embed="rId1"/>
        <a:stretch>
          <a:fillRect/>
        </a:stretch>
      </xdr:blipFill>
      <xdr:spPr>
        <a:xfrm>
          <a:off x="29083000" y="8397875"/>
          <a:ext cx="1294937" cy="508001"/>
        </a:xfrm>
        <a:prstGeom prst="rect">
          <a:avLst/>
        </a:prstGeom>
      </xdr:spPr>
    </xdr:pic>
    <xdr:clientData/>
  </xdr:oneCellAnchor>
  <xdr:oneCellAnchor>
    <xdr:from>
      <xdr:col>41</xdr:col>
      <xdr:colOff>0</xdr:colOff>
      <xdr:row>37</xdr:row>
      <xdr:rowOff>0</xdr:rowOff>
    </xdr:from>
    <xdr:ext cx="1296839" cy="508000"/>
    <xdr:pic>
      <xdr:nvPicPr>
        <xdr:cNvPr id="39" name="Picture 38">
          <a:extLst>
            <a:ext uri="{FF2B5EF4-FFF2-40B4-BE49-F238E27FC236}">
              <a16:creationId xmlns:a16="http://schemas.microsoft.com/office/drawing/2014/main" id="{00000000-0008-0000-0200-000027000000}"/>
            </a:ext>
          </a:extLst>
        </xdr:cNvPr>
        <xdr:cNvPicPr>
          <a:picLocks noChangeAspect="1"/>
        </xdr:cNvPicPr>
      </xdr:nvPicPr>
      <xdr:blipFill>
        <a:blip xmlns:r="http://schemas.openxmlformats.org/officeDocument/2006/relationships" r:embed="rId2"/>
        <a:stretch>
          <a:fillRect/>
        </a:stretch>
      </xdr:blipFill>
      <xdr:spPr>
        <a:xfrm>
          <a:off x="31178500" y="8397875"/>
          <a:ext cx="1296839" cy="50800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16</xdr:col>
      <xdr:colOff>1502568</xdr:colOff>
      <xdr:row>21</xdr:row>
      <xdr:rowOff>133349</xdr:rowOff>
    </xdr:from>
    <xdr:to>
      <xdr:col>17</xdr:col>
      <xdr:colOff>204787</xdr:colOff>
      <xdr:row>23</xdr:row>
      <xdr:rowOff>2380</xdr:rowOff>
    </xdr:to>
    <xdr:sp macro="" textlink="">
      <xdr:nvSpPr>
        <xdr:cNvPr id="23" name="TextBox 22">
          <a:extLst>
            <a:ext uri="{FF2B5EF4-FFF2-40B4-BE49-F238E27FC236}">
              <a16:creationId xmlns:a16="http://schemas.microsoft.com/office/drawing/2014/main" id="{00000000-0008-0000-0300-000017000000}"/>
            </a:ext>
          </a:extLst>
        </xdr:cNvPr>
        <xdr:cNvSpPr txBox="1"/>
      </xdr:nvSpPr>
      <xdr:spPr>
        <a:xfrm>
          <a:off x="25764104" y="4079420"/>
          <a:ext cx="457540" cy="2772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1100"/>
        </a:p>
      </xdr:txBody>
    </xdr:sp>
    <xdr:clientData/>
  </xdr:twoCellAnchor>
  <xdr:twoCellAnchor editAs="oneCell">
    <xdr:from>
      <xdr:col>5</xdr:col>
      <xdr:colOff>0</xdr:colOff>
      <xdr:row>64</xdr:row>
      <xdr:rowOff>0</xdr:rowOff>
    </xdr:from>
    <xdr:to>
      <xdr:col>5</xdr:col>
      <xdr:colOff>1272563</xdr:colOff>
      <xdr:row>66</xdr:row>
      <xdr:rowOff>100380</xdr:rowOff>
    </xdr:to>
    <xdr:pic>
      <xdr:nvPicPr>
        <xdr:cNvPr id="37" name="Picture 36">
          <a:extLst>
            <a:ext uri="{FF2B5EF4-FFF2-40B4-BE49-F238E27FC236}">
              <a16:creationId xmlns:a16="http://schemas.microsoft.com/office/drawing/2014/main" id="{00000000-0008-0000-0300-000025000000}"/>
            </a:ext>
          </a:extLst>
        </xdr:cNvPr>
        <xdr:cNvPicPr>
          <a:picLocks noChangeAspect="1"/>
        </xdr:cNvPicPr>
      </xdr:nvPicPr>
      <xdr:blipFill>
        <a:blip xmlns:r="http://schemas.openxmlformats.org/officeDocument/2006/relationships" r:embed="rId1"/>
        <a:stretch>
          <a:fillRect/>
        </a:stretch>
      </xdr:blipFill>
      <xdr:spPr>
        <a:xfrm>
          <a:off x="3899647" y="11967882"/>
          <a:ext cx="1272563" cy="481380"/>
        </a:xfrm>
        <a:prstGeom prst="rect">
          <a:avLst/>
        </a:prstGeom>
      </xdr:spPr>
    </xdr:pic>
    <xdr:clientData/>
  </xdr:twoCellAnchor>
  <xdr:twoCellAnchor editAs="oneCell">
    <xdr:from>
      <xdr:col>7</xdr:col>
      <xdr:colOff>0</xdr:colOff>
      <xdr:row>64</xdr:row>
      <xdr:rowOff>0</xdr:rowOff>
    </xdr:from>
    <xdr:to>
      <xdr:col>7</xdr:col>
      <xdr:colOff>1266825</xdr:colOff>
      <xdr:row>66</xdr:row>
      <xdr:rowOff>98168</xdr:rowOff>
    </xdr:to>
    <xdr:pic>
      <xdr:nvPicPr>
        <xdr:cNvPr id="38" name="Picture 37">
          <a:extLst>
            <a:ext uri="{FF2B5EF4-FFF2-40B4-BE49-F238E27FC236}">
              <a16:creationId xmlns:a16="http://schemas.microsoft.com/office/drawing/2014/main" id="{00000000-0008-0000-0300-000026000000}"/>
            </a:ext>
          </a:extLst>
        </xdr:cNvPr>
        <xdr:cNvPicPr>
          <a:picLocks noChangeAspect="1"/>
        </xdr:cNvPicPr>
      </xdr:nvPicPr>
      <xdr:blipFill>
        <a:blip xmlns:r="http://schemas.openxmlformats.org/officeDocument/2006/relationships" r:embed="rId2"/>
        <a:stretch>
          <a:fillRect/>
        </a:stretch>
      </xdr:blipFill>
      <xdr:spPr>
        <a:xfrm>
          <a:off x="5289176" y="11967882"/>
          <a:ext cx="1266825" cy="479168"/>
        </a:xfrm>
        <a:prstGeom prst="rect">
          <a:avLst/>
        </a:prstGeom>
      </xdr:spPr>
    </xdr:pic>
    <xdr:clientData/>
  </xdr:twoCellAnchor>
  <xdr:twoCellAnchor editAs="oneCell">
    <xdr:from>
      <xdr:col>9</xdr:col>
      <xdr:colOff>0</xdr:colOff>
      <xdr:row>64</xdr:row>
      <xdr:rowOff>0</xdr:rowOff>
    </xdr:from>
    <xdr:to>
      <xdr:col>9</xdr:col>
      <xdr:colOff>1268692</xdr:colOff>
      <xdr:row>66</xdr:row>
      <xdr:rowOff>98168</xdr:rowOff>
    </xdr:to>
    <xdr:pic>
      <xdr:nvPicPr>
        <xdr:cNvPr id="39" name="Picture 38">
          <a:extLst>
            <a:ext uri="{FF2B5EF4-FFF2-40B4-BE49-F238E27FC236}">
              <a16:creationId xmlns:a16="http://schemas.microsoft.com/office/drawing/2014/main" id="{00000000-0008-0000-0300-000027000000}"/>
            </a:ext>
          </a:extLst>
        </xdr:cNvPr>
        <xdr:cNvPicPr>
          <a:picLocks noChangeAspect="1"/>
        </xdr:cNvPicPr>
      </xdr:nvPicPr>
      <xdr:blipFill>
        <a:blip xmlns:r="http://schemas.openxmlformats.org/officeDocument/2006/relationships" r:embed="rId3"/>
        <a:stretch>
          <a:fillRect/>
        </a:stretch>
      </xdr:blipFill>
      <xdr:spPr>
        <a:xfrm>
          <a:off x="7306235" y="11967882"/>
          <a:ext cx="1268692" cy="479168"/>
        </a:xfrm>
        <a:prstGeom prst="rect">
          <a:avLst/>
        </a:prstGeom>
      </xdr:spPr>
    </xdr:pic>
    <xdr:clientData/>
  </xdr:twoCellAnchor>
  <xdr:twoCellAnchor editAs="oneCell">
    <xdr:from>
      <xdr:col>13</xdr:col>
      <xdr:colOff>106589</xdr:colOff>
      <xdr:row>3</xdr:row>
      <xdr:rowOff>190500</xdr:rowOff>
    </xdr:from>
    <xdr:to>
      <xdr:col>19</xdr:col>
      <xdr:colOff>541571</xdr:colOff>
      <xdr:row>17</xdr:row>
      <xdr:rowOff>194566</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4"/>
        <a:stretch>
          <a:fillRect/>
        </a:stretch>
      </xdr:blipFill>
      <xdr:spPr>
        <a:xfrm>
          <a:off x="13373553" y="789214"/>
          <a:ext cx="6163589" cy="2956816"/>
        </a:xfrm>
        <a:prstGeom prst="rect">
          <a:avLst/>
        </a:prstGeom>
      </xdr:spPr>
    </xdr:pic>
    <xdr:clientData/>
  </xdr:twoCellAnchor>
  <xdr:twoCellAnchor editAs="oneCell">
    <xdr:from>
      <xdr:col>12</xdr:col>
      <xdr:colOff>133350</xdr:colOff>
      <xdr:row>19</xdr:row>
      <xdr:rowOff>171450</xdr:rowOff>
    </xdr:from>
    <xdr:to>
      <xdr:col>20</xdr:col>
      <xdr:colOff>213173</xdr:colOff>
      <xdr:row>34</xdr:row>
      <xdr:rowOff>195353</xdr:rowOff>
    </xdr:to>
    <xdr:pic>
      <xdr:nvPicPr>
        <xdr:cNvPr id="12" name="Picture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5"/>
        <a:stretch>
          <a:fillRect/>
        </a:stretch>
      </xdr:blipFill>
      <xdr:spPr>
        <a:xfrm>
          <a:off x="13182600" y="4105275"/>
          <a:ext cx="6633023" cy="3243353"/>
        </a:xfrm>
        <a:prstGeom prst="rect">
          <a:avLst/>
        </a:prstGeom>
      </xdr:spPr>
    </xdr:pic>
    <xdr:clientData/>
  </xdr:twoCellAnchor>
  <xdr:twoCellAnchor editAs="oneCell">
    <xdr:from>
      <xdr:col>14</xdr:col>
      <xdr:colOff>65942</xdr:colOff>
      <xdr:row>41</xdr:row>
      <xdr:rowOff>205154</xdr:rowOff>
    </xdr:from>
    <xdr:to>
      <xdr:col>17</xdr:col>
      <xdr:colOff>67003</xdr:colOff>
      <xdr:row>50</xdr:row>
      <xdr:rowOff>76593</xdr:rowOff>
    </xdr:to>
    <xdr:pic>
      <xdr:nvPicPr>
        <xdr:cNvPr id="16" name="Picture 15">
          <a:extLst>
            <a:ext uri="{FF2B5EF4-FFF2-40B4-BE49-F238E27FC236}">
              <a16:creationId xmlns:a16="http://schemas.microsoft.com/office/drawing/2014/main" id="{00000000-0008-0000-0300-000010000000}"/>
            </a:ext>
          </a:extLst>
        </xdr:cNvPr>
        <xdr:cNvPicPr>
          <a:picLocks noChangeAspect="1"/>
        </xdr:cNvPicPr>
      </xdr:nvPicPr>
      <xdr:blipFill>
        <a:blip xmlns:r="http://schemas.openxmlformats.org/officeDocument/2006/relationships" r:embed="rId6"/>
        <a:stretch>
          <a:fillRect/>
        </a:stretch>
      </xdr:blipFill>
      <xdr:spPr>
        <a:xfrm>
          <a:off x="13943134" y="8850923"/>
          <a:ext cx="4133446" cy="1835055"/>
        </a:xfrm>
        <a:prstGeom prst="rect">
          <a:avLst/>
        </a:prstGeom>
      </xdr:spPr>
    </xdr:pic>
    <xdr:clientData/>
  </xdr:twoCellAnchor>
  <xdr:twoCellAnchor editAs="oneCell">
    <xdr:from>
      <xdr:col>23</xdr:col>
      <xdr:colOff>11906</xdr:colOff>
      <xdr:row>42</xdr:row>
      <xdr:rowOff>41671</xdr:rowOff>
    </xdr:from>
    <xdr:to>
      <xdr:col>27</xdr:col>
      <xdr:colOff>383613</xdr:colOff>
      <xdr:row>58</xdr:row>
      <xdr:rowOff>76933</xdr:rowOff>
    </xdr:to>
    <xdr:pic>
      <xdr:nvPicPr>
        <xdr:cNvPr id="24" name="Picture 23">
          <a:extLst>
            <a:ext uri="{FF2B5EF4-FFF2-40B4-BE49-F238E27FC236}">
              <a16:creationId xmlns:a16="http://schemas.microsoft.com/office/drawing/2014/main" id="{00000000-0008-0000-0300-000018000000}"/>
            </a:ext>
          </a:extLst>
        </xdr:cNvPr>
        <xdr:cNvPicPr>
          <a:picLocks noChangeAspect="1"/>
        </xdr:cNvPicPr>
      </xdr:nvPicPr>
      <xdr:blipFill>
        <a:blip xmlns:r="http://schemas.openxmlformats.org/officeDocument/2006/relationships" r:embed="rId7"/>
        <a:stretch>
          <a:fillRect/>
        </a:stretch>
      </xdr:blipFill>
      <xdr:spPr>
        <a:xfrm>
          <a:off x="20579953" y="8971359"/>
          <a:ext cx="5425910" cy="352379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28</xdr:row>
      <xdr:rowOff>0</xdr:rowOff>
    </xdr:from>
    <xdr:to>
      <xdr:col>3</xdr:col>
      <xdr:colOff>1265949</xdr:colOff>
      <xdr:row>30</xdr:row>
      <xdr:rowOff>20817</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57225" y="10544175"/>
          <a:ext cx="1272563" cy="478018"/>
        </a:xfrm>
        <a:prstGeom prst="rect">
          <a:avLst/>
        </a:prstGeom>
      </xdr:spPr>
    </xdr:pic>
    <xdr:clientData/>
  </xdr:twoCellAnchor>
  <xdr:twoCellAnchor editAs="oneCell">
    <xdr:from>
      <xdr:col>7</xdr:col>
      <xdr:colOff>0</xdr:colOff>
      <xdr:row>28</xdr:row>
      <xdr:rowOff>0</xdr:rowOff>
    </xdr:from>
    <xdr:to>
      <xdr:col>8</xdr:col>
      <xdr:colOff>166159</xdr:colOff>
      <xdr:row>30</xdr:row>
      <xdr:rowOff>18605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5038725" y="10544175"/>
          <a:ext cx="1266825" cy="475806"/>
        </a:xfrm>
        <a:prstGeom prst="rect">
          <a:avLst/>
        </a:prstGeom>
      </xdr:spPr>
    </xdr:pic>
    <xdr:clientData/>
  </xdr:twoCellAnchor>
  <xdr:twoCellAnchor editAs="oneCell">
    <xdr:from>
      <xdr:col>11</xdr:col>
      <xdr:colOff>0</xdr:colOff>
      <xdr:row>28</xdr:row>
      <xdr:rowOff>0</xdr:rowOff>
    </xdr:from>
    <xdr:to>
      <xdr:col>13</xdr:col>
      <xdr:colOff>53973</xdr:colOff>
      <xdr:row>30</xdr:row>
      <xdr:rowOff>18605</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9286875" y="10544175"/>
          <a:ext cx="1273174" cy="47580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0</xdr:colOff>
      <xdr:row>4</xdr:row>
      <xdr:rowOff>0</xdr:rowOff>
    </xdr:from>
    <xdr:to>
      <xdr:col>3</xdr:col>
      <xdr:colOff>1272563</xdr:colOff>
      <xdr:row>6</xdr:row>
      <xdr:rowOff>30343</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a:stretch>
          <a:fillRect/>
        </a:stretch>
      </xdr:blipFill>
      <xdr:spPr>
        <a:xfrm>
          <a:off x="3833813" y="1063625"/>
          <a:ext cx="1272563" cy="490718"/>
        </a:xfrm>
        <a:prstGeom prst="rect">
          <a:avLst/>
        </a:prstGeom>
      </xdr:spPr>
    </xdr:pic>
    <xdr:clientData/>
  </xdr:twoCellAnchor>
  <xdr:twoCellAnchor editAs="oneCell">
    <xdr:from>
      <xdr:col>4</xdr:col>
      <xdr:colOff>0</xdr:colOff>
      <xdr:row>4</xdr:row>
      <xdr:rowOff>0</xdr:rowOff>
    </xdr:from>
    <xdr:to>
      <xdr:col>4</xdr:col>
      <xdr:colOff>1268412</xdr:colOff>
      <xdr:row>6</xdr:row>
      <xdr:rowOff>28131</xdr:rowOff>
    </xdr:to>
    <xdr:pic>
      <xdr:nvPicPr>
        <xdr:cNvPr id="9" name="Picture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2"/>
        <a:stretch>
          <a:fillRect/>
        </a:stretch>
      </xdr:blipFill>
      <xdr:spPr>
        <a:xfrm>
          <a:off x="5969000" y="1063625"/>
          <a:ext cx="1268412" cy="488506"/>
        </a:xfrm>
        <a:prstGeom prst="rect">
          <a:avLst/>
        </a:prstGeom>
      </xdr:spPr>
    </xdr:pic>
    <xdr:clientData/>
  </xdr:twoCellAnchor>
  <xdr:twoCellAnchor editAs="oneCell">
    <xdr:from>
      <xdr:col>5</xdr:col>
      <xdr:colOff>0</xdr:colOff>
      <xdr:row>4</xdr:row>
      <xdr:rowOff>0</xdr:rowOff>
    </xdr:from>
    <xdr:to>
      <xdr:col>5</xdr:col>
      <xdr:colOff>1268412</xdr:colOff>
      <xdr:row>6</xdr:row>
      <xdr:rowOff>28131</xdr:rowOff>
    </xdr:to>
    <xdr:pic>
      <xdr:nvPicPr>
        <xdr:cNvPr id="10" name="Picture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3"/>
        <a:stretch>
          <a:fillRect/>
        </a:stretch>
      </xdr:blipFill>
      <xdr:spPr>
        <a:xfrm>
          <a:off x="8961438" y="1063625"/>
          <a:ext cx="1268412" cy="488506"/>
        </a:xfrm>
        <a:prstGeom prst="rect">
          <a:avLst/>
        </a:prstGeom>
      </xdr:spPr>
    </xdr:pic>
    <xdr:clientData/>
  </xdr:twoCellAnchor>
  <xdr:twoCellAnchor editAs="oneCell">
    <xdr:from>
      <xdr:col>3</xdr:col>
      <xdr:colOff>0</xdr:colOff>
      <xdr:row>30</xdr:row>
      <xdr:rowOff>0</xdr:rowOff>
    </xdr:from>
    <xdr:to>
      <xdr:col>3</xdr:col>
      <xdr:colOff>1272563</xdr:colOff>
      <xdr:row>32</xdr:row>
      <xdr:rowOff>30344</xdr:rowOff>
    </xdr:to>
    <xdr:pic>
      <xdr:nvPicPr>
        <xdr:cNvPr id="7" name="Pictur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stretch>
          <a:fillRect/>
        </a:stretch>
      </xdr:blipFill>
      <xdr:spPr>
        <a:xfrm>
          <a:off x="3831167" y="7133167"/>
          <a:ext cx="1272563" cy="496010"/>
        </a:xfrm>
        <a:prstGeom prst="rect">
          <a:avLst/>
        </a:prstGeom>
      </xdr:spPr>
    </xdr:pic>
    <xdr:clientData/>
  </xdr:twoCellAnchor>
  <xdr:twoCellAnchor editAs="oneCell">
    <xdr:from>
      <xdr:col>4</xdr:col>
      <xdr:colOff>0</xdr:colOff>
      <xdr:row>30</xdr:row>
      <xdr:rowOff>0</xdr:rowOff>
    </xdr:from>
    <xdr:to>
      <xdr:col>4</xdr:col>
      <xdr:colOff>1268412</xdr:colOff>
      <xdr:row>32</xdr:row>
      <xdr:rowOff>28132</xdr:rowOff>
    </xdr:to>
    <xdr:pic>
      <xdr:nvPicPr>
        <xdr:cNvPr id="8" name="Picture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2"/>
        <a:stretch>
          <a:fillRect/>
        </a:stretch>
      </xdr:blipFill>
      <xdr:spPr>
        <a:xfrm>
          <a:off x="5969000" y="7133167"/>
          <a:ext cx="1268412" cy="493798"/>
        </a:xfrm>
        <a:prstGeom prst="rect">
          <a:avLst/>
        </a:prstGeom>
      </xdr:spPr>
    </xdr:pic>
    <xdr:clientData/>
  </xdr:twoCellAnchor>
  <xdr:twoCellAnchor editAs="oneCell">
    <xdr:from>
      <xdr:col>5</xdr:col>
      <xdr:colOff>0</xdr:colOff>
      <xdr:row>30</xdr:row>
      <xdr:rowOff>0</xdr:rowOff>
    </xdr:from>
    <xdr:to>
      <xdr:col>5</xdr:col>
      <xdr:colOff>1268412</xdr:colOff>
      <xdr:row>32</xdr:row>
      <xdr:rowOff>28132</xdr:rowOff>
    </xdr:to>
    <xdr:pic>
      <xdr:nvPicPr>
        <xdr:cNvPr id="11" name="Picture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3"/>
        <a:stretch>
          <a:fillRect/>
        </a:stretch>
      </xdr:blipFill>
      <xdr:spPr>
        <a:xfrm>
          <a:off x="8593667" y="7133167"/>
          <a:ext cx="1268412" cy="493798"/>
        </a:xfrm>
        <a:prstGeom prst="rect">
          <a:avLst/>
        </a:prstGeom>
      </xdr:spPr>
    </xdr:pic>
    <xdr:clientData/>
  </xdr:twoCellAnchor>
</xdr:wsDr>
</file>

<file path=xl/theme/theme1.xml><?xml version="1.0" encoding="utf-8"?>
<a:theme xmlns:a="http://schemas.openxmlformats.org/drawingml/2006/main" name="Office Theme">
  <a:themeElements>
    <a:clrScheme name="Custom 1">
      <a:dk1>
        <a:sysClr val="windowText" lastClr="000000"/>
      </a:dk1>
      <a:lt1>
        <a:sysClr val="window" lastClr="FFFFFF"/>
      </a:lt1>
      <a:dk2>
        <a:srgbClr val="44546A"/>
      </a:dk2>
      <a:lt2>
        <a:srgbClr val="E7E6E6"/>
      </a:lt2>
      <a:accent1>
        <a:srgbClr val="4472C4"/>
      </a:accent1>
      <a:accent2>
        <a:srgbClr val="FFC000"/>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1C0D3-04AA-4AC1-8269-CC0C0CB98245}">
  <sheetPr codeName="Sheet3">
    <tabColor rgb="FFFFFF00"/>
  </sheetPr>
  <dimension ref="B1:AN43"/>
  <sheetViews>
    <sheetView workbookViewId="0">
      <selection activeCell="M53" sqref="M53"/>
    </sheetView>
  </sheetViews>
  <sheetFormatPr baseColWidth="10" defaultColWidth="9.140625" defaultRowHeight="15" x14ac:dyDescent="0.25"/>
  <cols>
    <col min="1" max="1" width="3.7109375" style="1" customWidth="1"/>
    <col min="2" max="2" width="1.28515625" style="1" customWidth="1"/>
    <col min="3" max="7" width="9.140625" style="1"/>
    <col min="8" max="8" width="9.140625" style="1" customWidth="1"/>
    <col min="9" max="9" width="0.85546875" style="1" customWidth="1"/>
    <col min="10" max="10" width="0.5703125" style="1" customWidth="1"/>
    <col min="11" max="16" width="9.140625" style="1"/>
    <col min="17" max="18" width="0.85546875" style="1" customWidth="1"/>
    <col min="19" max="24" width="9.140625" style="1"/>
    <col min="25" max="25" width="0.7109375" style="1" customWidth="1"/>
    <col min="26" max="26" width="1" style="1" customWidth="1"/>
    <col min="27" max="32" width="9.140625" style="1"/>
    <col min="33" max="33" width="0.7109375" style="1" customWidth="1"/>
    <col min="34" max="34" width="1" style="1" customWidth="1"/>
    <col min="35" max="16384" width="9.140625" style="1"/>
  </cols>
  <sheetData>
    <row r="1" spans="2:40" ht="18" customHeight="1" thickBot="1" x14ac:dyDescent="0.3"/>
    <row r="2" spans="2:40" ht="24" customHeight="1" x14ac:dyDescent="0.4">
      <c r="B2" s="45"/>
      <c r="C2" s="46" t="s">
        <v>18</v>
      </c>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2"/>
    </row>
    <row r="3" spans="2:40" x14ac:dyDescent="0.25">
      <c r="B3" s="5"/>
      <c r="C3" s="1" t="s">
        <v>1</v>
      </c>
      <c r="AN3" s="6"/>
    </row>
    <row r="4" spans="2:40" x14ac:dyDescent="0.25">
      <c r="B4" s="5"/>
      <c r="AN4" s="6"/>
    </row>
    <row r="5" spans="2:40" x14ac:dyDescent="0.25">
      <c r="B5" s="5"/>
      <c r="AN5" s="6"/>
    </row>
    <row r="6" spans="2:40" x14ac:dyDescent="0.25">
      <c r="B6" s="5"/>
      <c r="AN6" s="6"/>
    </row>
    <row r="7" spans="2:40" x14ac:dyDescent="0.25">
      <c r="B7" s="5"/>
      <c r="AN7" s="6"/>
    </row>
    <row r="8" spans="2:40" x14ac:dyDescent="0.25">
      <c r="B8" s="5"/>
      <c r="AN8" s="6"/>
    </row>
    <row r="9" spans="2:40" ht="15.75" thickBot="1" x14ac:dyDescent="0.3">
      <c r="B9" s="7"/>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9"/>
    </row>
    <row r="10" spans="2:40" ht="6" customHeight="1" thickBot="1" x14ac:dyDescent="0.3"/>
    <row r="11" spans="2:40" x14ac:dyDescent="0.25">
      <c r="B11" s="13"/>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5"/>
    </row>
    <row r="12" spans="2:40" x14ac:dyDescent="0.25">
      <c r="B12" s="16"/>
      <c r="C12" s="17"/>
      <c r="D12" s="17"/>
      <c r="E12" s="17"/>
      <c r="F12" s="17"/>
      <c r="G12" s="17"/>
      <c r="H12" s="17"/>
      <c r="I12" s="17"/>
      <c r="J12" s="17"/>
      <c r="K12" s="17" t="s">
        <v>24</v>
      </c>
      <c r="L12" s="17"/>
      <c r="M12" s="17"/>
      <c r="N12" s="17"/>
      <c r="O12" s="17"/>
      <c r="P12" s="17"/>
      <c r="Q12" s="17"/>
      <c r="R12" s="17" t="s">
        <v>22</v>
      </c>
      <c r="S12" s="17"/>
      <c r="T12" s="17"/>
      <c r="U12" s="17"/>
      <c r="V12" s="17"/>
      <c r="W12" s="17"/>
      <c r="X12" s="17"/>
      <c r="Y12" s="17"/>
      <c r="Z12" s="17" t="s">
        <v>23</v>
      </c>
      <c r="AA12" s="17"/>
      <c r="AB12" s="17"/>
      <c r="AC12" s="17"/>
      <c r="AD12" s="17"/>
      <c r="AE12" s="17"/>
      <c r="AF12" s="17"/>
      <c r="AG12" s="17"/>
      <c r="AH12" s="17"/>
      <c r="AI12" s="17"/>
      <c r="AJ12" s="17"/>
      <c r="AK12" s="17"/>
      <c r="AL12" s="17"/>
      <c r="AM12" s="17"/>
      <c r="AN12" s="18"/>
    </row>
    <row r="13" spans="2:40" ht="15.75" thickBot="1" x14ac:dyDescent="0.3">
      <c r="B13" s="19"/>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1"/>
    </row>
    <row r="14" spans="2:40" s="22" customFormat="1" ht="18.75" x14ac:dyDescent="0.3">
      <c r="B14" s="23"/>
      <c r="C14" s="10" t="s">
        <v>19</v>
      </c>
      <c r="D14" s="10"/>
      <c r="E14" s="10"/>
      <c r="F14" s="10"/>
      <c r="G14" s="10"/>
      <c r="H14" s="24"/>
      <c r="J14" s="25"/>
      <c r="K14" s="37" t="s">
        <v>6</v>
      </c>
      <c r="L14" s="26"/>
      <c r="M14" s="26"/>
      <c r="N14" s="26"/>
      <c r="O14" s="26"/>
      <c r="P14" s="27"/>
      <c r="R14" s="28"/>
      <c r="S14" s="38" t="s">
        <v>20</v>
      </c>
      <c r="T14" s="29"/>
      <c r="U14" s="29"/>
      <c r="V14" s="29"/>
      <c r="W14" s="29"/>
      <c r="X14" s="30"/>
      <c r="Z14" s="31"/>
      <c r="AA14" s="39" t="s">
        <v>2</v>
      </c>
      <c r="AB14" s="32"/>
      <c r="AC14" s="32"/>
      <c r="AD14" s="32"/>
      <c r="AE14" s="32"/>
      <c r="AF14" s="33"/>
      <c r="AH14" s="34"/>
      <c r="AI14" s="40" t="s">
        <v>21</v>
      </c>
      <c r="AJ14" s="35"/>
      <c r="AK14" s="35"/>
      <c r="AL14" s="35"/>
      <c r="AM14" s="35"/>
      <c r="AN14" s="36"/>
    </row>
    <row r="15" spans="2:40" x14ac:dyDescent="0.25">
      <c r="B15" s="5"/>
      <c r="H15" s="6"/>
      <c r="J15" s="5"/>
      <c r="P15" s="6"/>
      <c r="R15" s="5"/>
      <c r="X15" s="6"/>
      <c r="Z15" s="5"/>
      <c r="AF15" s="6"/>
      <c r="AH15" s="5"/>
      <c r="AN15" s="6"/>
    </row>
    <row r="16" spans="2:40" x14ac:dyDescent="0.25">
      <c r="B16" s="5"/>
      <c r="C16" s="1" t="s">
        <v>25</v>
      </c>
      <c r="H16" s="6"/>
      <c r="J16" s="5"/>
      <c r="K16" s="1" t="s">
        <v>31</v>
      </c>
      <c r="P16" s="6"/>
      <c r="R16" s="5"/>
      <c r="S16" s="1" t="s">
        <v>34</v>
      </c>
      <c r="X16" s="6"/>
      <c r="Z16" s="5"/>
      <c r="AA16" s="1" t="s">
        <v>38</v>
      </c>
      <c r="AF16" s="6"/>
      <c r="AH16" s="5"/>
      <c r="AI16" s="1" t="s">
        <v>36</v>
      </c>
      <c r="AN16" s="6"/>
    </row>
    <row r="17" spans="2:40" x14ac:dyDescent="0.25">
      <c r="B17" s="5"/>
      <c r="C17" s="1" t="s">
        <v>26</v>
      </c>
      <c r="H17" s="6"/>
      <c r="J17" s="5"/>
      <c r="K17" s="1" t="s">
        <v>32</v>
      </c>
      <c r="P17" s="6"/>
      <c r="R17" s="5"/>
      <c r="S17" s="1" t="s">
        <v>35</v>
      </c>
      <c r="X17" s="6"/>
      <c r="Z17" s="5"/>
      <c r="AA17" s="1" t="s">
        <v>39</v>
      </c>
      <c r="AF17" s="6"/>
      <c r="AH17" s="5"/>
      <c r="AI17" s="1" t="s">
        <v>37</v>
      </c>
      <c r="AN17" s="6"/>
    </row>
    <row r="18" spans="2:40" x14ac:dyDescent="0.25">
      <c r="B18" s="5"/>
      <c r="H18" s="6"/>
      <c r="J18" s="5"/>
      <c r="K18" s="1" t="s">
        <v>33</v>
      </c>
      <c r="P18" s="6"/>
      <c r="R18" s="5"/>
      <c r="X18" s="6"/>
      <c r="Z18" s="5"/>
      <c r="AF18" s="6"/>
      <c r="AH18" s="5"/>
      <c r="AN18" s="6"/>
    </row>
    <row r="19" spans="2:40" x14ac:dyDescent="0.25">
      <c r="B19" s="5"/>
      <c r="C19" s="1" t="s">
        <v>27</v>
      </c>
      <c r="H19" s="6"/>
      <c r="J19" s="5"/>
      <c r="P19" s="6"/>
      <c r="R19" s="5"/>
      <c r="X19" s="6"/>
      <c r="Z19" s="5"/>
      <c r="AA19" s="1" t="s">
        <v>44</v>
      </c>
      <c r="AF19" s="6"/>
      <c r="AH19" s="5"/>
      <c r="AN19" s="6"/>
    </row>
    <row r="20" spans="2:40" x14ac:dyDescent="0.25">
      <c r="B20" s="5"/>
      <c r="H20" s="6"/>
      <c r="J20" s="5"/>
      <c r="P20" s="6"/>
      <c r="R20" s="5"/>
      <c r="X20" s="6"/>
      <c r="Z20" s="5"/>
      <c r="AA20" s="1" t="s">
        <v>45</v>
      </c>
      <c r="AF20" s="6"/>
      <c r="AH20" s="5"/>
      <c r="AN20" s="6"/>
    </row>
    <row r="21" spans="2:40" x14ac:dyDescent="0.25">
      <c r="B21" s="5"/>
      <c r="C21" s="1" t="s">
        <v>28</v>
      </c>
      <c r="H21" s="6"/>
      <c r="J21" s="5"/>
      <c r="P21" s="6"/>
      <c r="R21" s="5"/>
      <c r="X21" s="6"/>
      <c r="Z21" s="5"/>
      <c r="AF21" s="6"/>
      <c r="AH21" s="5"/>
      <c r="AN21" s="6"/>
    </row>
    <row r="22" spans="2:40" x14ac:dyDescent="0.25">
      <c r="B22" s="5"/>
      <c r="C22" s="1" t="s">
        <v>29</v>
      </c>
      <c r="H22" s="6"/>
      <c r="J22" s="5"/>
      <c r="P22" s="6"/>
      <c r="R22" s="5"/>
      <c r="X22" s="6"/>
      <c r="Z22" s="5"/>
      <c r="AA22" s="1" t="s">
        <v>46</v>
      </c>
      <c r="AF22" s="6"/>
      <c r="AH22" s="5"/>
      <c r="AN22" s="6"/>
    </row>
    <row r="23" spans="2:40" x14ac:dyDescent="0.25">
      <c r="B23" s="5"/>
      <c r="C23" s="1" t="s">
        <v>30</v>
      </c>
      <c r="H23" s="6"/>
      <c r="J23" s="5"/>
      <c r="P23" s="6"/>
      <c r="R23" s="5"/>
      <c r="X23" s="6"/>
      <c r="Z23" s="5"/>
      <c r="AA23" s="1" t="s">
        <v>47</v>
      </c>
      <c r="AF23" s="6"/>
      <c r="AH23" s="5"/>
      <c r="AN23" s="6"/>
    </row>
    <row r="24" spans="2:40" x14ac:dyDescent="0.25">
      <c r="B24" s="5"/>
      <c r="H24" s="6"/>
      <c r="J24" s="5"/>
      <c r="P24" s="6"/>
      <c r="R24" s="5"/>
      <c r="X24" s="6"/>
      <c r="Z24" s="5"/>
      <c r="AA24" s="1" t="s">
        <v>48</v>
      </c>
      <c r="AF24" s="6"/>
      <c r="AH24" s="5"/>
      <c r="AN24" s="6"/>
    </row>
    <row r="25" spans="2:40" x14ac:dyDescent="0.25">
      <c r="B25" s="5"/>
      <c r="C25" s="1" t="s">
        <v>0</v>
      </c>
      <c r="H25" s="6"/>
      <c r="J25" s="5"/>
      <c r="P25" s="6"/>
      <c r="R25" s="5"/>
      <c r="X25" s="6"/>
      <c r="Z25" s="5"/>
      <c r="AA25" s="1" t="s">
        <v>49</v>
      </c>
      <c r="AF25" s="6"/>
      <c r="AH25" s="5"/>
      <c r="AN25" s="6"/>
    </row>
    <row r="26" spans="2:40" x14ac:dyDescent="0.25">
      <c r="B26" s="5"/>
      <c r="C26" s="1" t="s">
        <v>42</v>
      </c>
      <c r="H26" s="6"/>
      <c r="J26" s="5"/>
      <c r="P26" s="6"/>
      <c r="R26" s="5"/>
      <c r="X26" s="6"/>
      <c r="Z26" s="5"/>
      <c r="AA26" s="1" t="s">
        <v>50</v>
      </c>
      <c r="AF26" s="6"/>
      <c r="AH26" s="5"/>
      <c r="AN26" s="6"/>
    </row>
    <row r="27" spans="2:40" x14ac:dyDescent="0.25">
      <c r="B27" s="5"/>
      <c r="C27" s="1" t="s">
        <v>43</v>
      </c>
      <c r="H27" s="6"/>
      <c r="J27" s="5"/>
      <c r="P27" s="6"/>
      <c r="R27" s="5"/>
      <c r="X27" s="6"/>
      <c r="Z27" s="5"/>
      <c r="AF27" s="6"/>
      <c r="AH27" s="5"/>
      <c r="AN27" s="6"/>
    </row>
    <row r="28" spans="2:40" x14ac:dyDescent="0.25">
      <c r="B28" s="5"/>
      <c r="H28" s="6"/>
      <c r="J28" s="5"/>
      <c r="P28" s="6"/>
      <c r="R28" s="5"/>
      <c r="X28" s="6"/>
      <c r="Z28" s="5"/>
      <c r="AA28" s="1" t="s">
        <v>51</v>
      </c>
      <c r="AF28" s="6"/>
      <c r="AH28" s="5"/>
      <c r="AN28" s="6"/>
    </row>
    <row r="29" spans="2:40" x14ac:dyDescent="0.25">
      <c r="B29" s="5"/>
      <c r="C29" s="1" t="s">
        <v>40</v>
      </c>
      <c r="H29" s="6"/>
      <c r="J29" s="5"/>
      <c r="P29" s="6"/>
      <c r="R29" s="5"/>
      <c r="X29" s="6"/>
      <c r="Z29" s="5"/>
      <c r="AA29" s="1" t="s">
        <v>52</v>
      </c>
      <c r="AF29" s="6"/>
      <c r="AH29" s="5"/>
      <c r="AN29" s="6"/>
    </row>
    <row r="30" spans="2:40" x14ac:dyDescent="0.25">
      <c r="B30" s="5"/>
      <c r="C30" s="1" t="s">
        <v>41</v>
      </c>
      <c r="H30" s="6"/>
      <c r="J30" s="5"/>
      <c r="P30" s="6"/>
      <c r="R30" s="5"/>
      <c r="X30" s="6"/>
      <c r="Z30" s="5"/>
      <c r="AA30" s="1" t="s">
        <v>53</v>
      </c>
      <c r="AF30" s="6"/>
      <c r="AH30" s="5"/>
      <c r="AN30" s="6"/>
    </row>
    <row r="31" spans="2:40" x14ac:dyDescent="0.25">
      <c r="B31" s="5"/>
      <c r="H31" s="6"/>
      <c r="J31" s="5"/>
      <c r="P31" s="6"/>
      <c r="R31" s="5"/>
      <c r="X31" s="6"/>
      <c r="Z31" s="5"/>
      <c r="AA31" s="1" t="s">
        <v>54</v>
      </c>
      <c r="AF31" s="6"/>
      <c r="AH31" s="5"/>
      <c r="AN31" s="6"/>
    </row>
    <row r="32" spans="2:40" x14ac:dyDescent="0.25">
      <c r="B32" s="5"/>
      <c r="H32" s="6"/>
      <c r="J32" s="5"/>
      <c r="P32" s="6"/>
      <c r="R32" s="5"/>
      <c r="X32" s="6"/>
      <c r="Z32" s="5"/>
      <c r="AF32" s="6"/>
      <c r="AH32" s="5"/>
      <c r="AN32" s="6"/>
    </row>
    <row r="33" spans="2:40" x14ac:dyDescent="0.25">
      <c r="B33" s="5"/>
      <c r="H33" s="6"/>
      <c r="J33" s="5"/>
      <c r="P33" s="6"/>
      <c r="R33" s="5"/>
      <c r="X33" s="6"/>
      <c r="Z33" s="5"/>
      <c r="AA33" s="1" t="s">
        <v>55</v>
      </c>
      <c r="AF33" s="6"/>
      <c r="AH33" s="5"/>
      <c r="AN33" s="6"/>
    </row>
    <row r="34" spans="2:40" x14ac:dyDescent="0.25">
      <c r="B34" s="5"/>
      <c r="H34" s="6"/>
      <c r="J34" s="5"/>
      <c r="P34" s="6"/>
      <c r="R34" s="5"/>
      <c r="X34" s="6"/>
      <c r="Z34" s="5"/>
      <c r="AA34" s="1" t="s">
        <v>56</v>
      </c>
      <c r="AF34" s="6"/>
      <c r="AH34" s="5"/>
      <c r="AN34" s="6"/>
    </row>
    <row r="35" spans="2:40" x14ac:dyDescent="0.25">
      <c r="B35" s="5"/>
      <c r="H35" s="6"/>
      <c r="J35" s="5"/>
      <c r="P35" s="6"/>
      <c r="R35" s="5"/>
      <c r="X35" s="6"/>
      <c r="Z35" s="5"/>
      <c r="AF35" s="6"/>
      <c r="AH35" s="5"/>
      <c r="AN35" s="6"/>
    </row>
    <row r="36" spans="2:40" x14ac:dyDescent="0.25">
      <c r="B36" s="5"/>
      <c r="H36" s="6"/>
      <c r="J36" s="5"/>
      <c r="P36" s="6"/>
      <c r="R36" s="5"/>
      <c r="X36" s="6"/>
      <c r="Z36" s="5"/>
      <c r="AF36" s="6"/>
      <c r="AH36" s="5"/>
      <c r="AN36" s="6"/>
    </row>
    <row r="37" spans="2:40" x14ac:dyDescent="0.25">
      <c r="B37" s="5"/>
      <c r="H37" s="6"/>
      <c r="J37" s="5"/>
      <c r="P37" s="6"/>
      <c r="R37" s="5"/>
      <c r="X37" s="6"/>
      <c r="Z37" s="5"/>
      <c r="AF37" s="6"/>
      <c r="AH37" s="5"/>
      <c r="AN37" s="6"/>
    </row>
    <row r="38" spans="2:40" x14ac:dyDescent="0.25">
      <c r="B38" s="5"/>
      <c r="H38" s="6"/>
      <c r="J38" s="5"/>
      <c r="P38" s="6"/>
      <c r="R38" s="5"/>
      <c r="X38" s="6"/>
      <c r="Z38" s="5"/>
      <c r="AF38" s="6"/>
      <c r="AH38" s="5"/>
      <c r="AN38" s="6"/>
    </row>
    <row r="39" spans="2:40" x14ac:dyDescent="0.25">
      <c r="B39" s="5"/>
      <c r="H39" s="6"/>
      <c r="J39" s="5"/>
      <c r="P39" s="6"/>
      <c r="R39" s="5"/>
      <c r="X39" s="6"/>
      <c r="Z39" s="5"/>
      <c r="AF39" s="6"/>
      <c r="AH39" s="5"/>
      <c r="AN39" s="6"/>
    </row>
    <row r="40" spans="2:40" x14ac:dyDescent="0.25">
      <c r="B40" s="5"/>
      <c r="H40" s="6"/>
      <c r="J40" s="5"/>
      <c r="P40" s="6"/>
      <c r="R40" s="5"/>
      <c r="X40" s="6"/>
      <c r="Z40" s="5"/>
      <c r="AF40" s="6"/>
      <c r="AH40" s="5"/>
      <c r="AN40" s="6"/>
    </row>
    <row r="41" spans="2:40" x14ac:dyDescent="0.25">
      <c r="B41" s="5"/>
      <c r="H41" s="6"/>
      <c r="J41" s="5"/>
      <c r="P41" s="6"/>
      <c r="R41" s="5"/>
      <c r="X41" s="6"/>
      <c r="Z41" s="5"/>
      <c r="AF41" s="6"/>
      <c r="AH41" s="5"/>
      <c r="AN41" s="6"/>
    </row>
    <row r="42" spans="2:40" x14ac:dyDescent="0.25">
      <c r="B42" s="5"/>
      <c r="H42" s="6"/>
      <c r="J42" s="5"/>
      <c r="P42" s="6"/>
      <c r="R42" s="5"/>
      <c r="X42" s="6"/>
      <c r="Z42" s="5"/>
      <c r="AF42" s="6"/>
      <c r="AH42" s="5"/>
      <c r="AN42" s="6"/>
    </row>
    <row r="43" spans="2:40" ht="15.75" thickBot="1" x14ac:dyDescent="0.3">
      <c r="B43" s="7"/>
      <c r="C43" s="8"/>
      <c r="D43" s="8"/>
      <c r="E43" s="8"/>
      <c r="F43" s="8"/>
      <c r="G43" s="8"/>
      <c r="H43" s="9"/>
      <c r="J43" s="7"/>
      <c r="K43" s="8"/>
      <c r="L43" s="8"/>
      <c r="M43" s="8"/>
      <c r="N43" s="8"/>
      <c r="O43" s="8"/>
      <c r="P43" s="9"/>
      <c r="R43" s="7"/>
      <c r="S43" s="8"/>
      <c r="T43" s="8"/>
      <c r="U43" s="8"/>
      <c r="V43" s="8"/>
      <c r="W43" s="8"/>
      <c r="X43" s="9"/>
      <c r="Z43" s="7"/>
      <c r="AA43" s="8"/>
      <c r="AB43" s="8"/>
      <c r="AC43" s="8"/>
      <c r="AD43" s="8"/>
      <c r="AE43" s="8"/>
      <c r="AF43" s="9"/>
      <c r="AH43" s="7"/>
      <c r="AI43" s="8"/>
      <c r="AJ43" s="8"/>
      <c r="AK43" s="8"/>
      <c r="AL43" s="8"/>
      <c r="AM43" s="8"/>
      <c r="AN43" s="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8783B-F29B-4CF9-85CE-5C7FD1D090EB}">
  <sheetPr codeName="Sheet4">
    <tabColor rgb="FFFFC000"/>
  </sheetPr>
  <dimension ref="A1:AJ76"/>
  <sheetViews>
    <sheetView zoomScale="70" zoomScaleNormal="70" workbookViewId="0">
      <selection activeCell="AH13" sqref="AH13"/>
    </sheetView>
  </sheetViews>
  <sheetFormatPr baseColWidth="10" defaultColWidth="9.140625" defaultRowHeight="15" x14ac:dyDescent="0.25"/>
  <cols>
    <col min="1" max="1" width="3.7109375" style="1" customWidth="1"/>
    <col min="2" max="2" width="2.28515625" style="1" customWidth="1"/>
    <col min="3" max="3" width="1.42578125" style="1" customWidth="1"/>
    <col min="4" max="4" width="5.7109375" style="1" customWidth="1"/>
    <col min="5" max="5" width="32.7109375" style="1" customWidth="1"/>
    <col min="6" max="6" width="37.28515625" style="1" customWidth="1"/>
    <col min="7" max="7" width="8.5703125" style="1" customWidth="1"/>
    <col min="8" max="8" width="9.28515625" style="1" customWidth="1"/>
    <col min="9" max="9" width="8.85546875" style="1" customWidth="1"/>
    <col min="10" max="10" width="1.85546875" style="1" customWidth="1"/>
    <col min="11" max="11" width="3.28515625" style="1" customWidth="1"/>
    <col min="12" max="12" width="1.5703125" style="1" customWidth="1"/>
    <col min="13" max="13" width="13.28515625" style="1" customWidth="1"/>
    <col min="14" max="18" width="9.140625" style="1"/>
    <col min="19" max="19" width="12.5703125" style="1" customWidth="1"/>
    <col min="20" max="20" width="18.28515625" style="1" customWidth="1"/>
    <col min="21" max="21" width="23.140625" style="1" customWidth="1"/>
    <col min="22" max="22" width="13.5703125" style="1" customWidth="1"/>
    <col min="23" max="23" width="2.7109375" style="1" customWidth="1"/>
    <col min="24" max="24" width="3.28515625" style="1" customWidth="1"/>
    <col min="25" max="32" width="9.140625" style="1"/>
    <col min="33" max="33" width="11.5703125" style="1" customWidth="1"/>
    <col min="34" max="34" width="12.85546875" style="1" customWidth="1"/>
    <col min="35" max="35" width="9.140625" style="1"/>
    <col min="36" max="36" width="3.28515625" style="1" customWidth="1"/>
    <col min="37" max="37" width="3.42578125" style="1" customWidth="1"/>
    <col min="38" max="16384" width="9.140625" style="1"/>
  </cols>
  <sheetData>
    <row r="1" spans="1:36" ht="18" customHeight="1" thickBot="1" x14ac:dyDescent="0.4">
      <c r="A1" s="2"/>
    </row>
    <row r="2" spans="1:36" ht="24" thickBot="1" x14ac:dyDescent="0.4">
      <c r="B2" s="42" t="s">
        <v>476</v>
      </c>
      <c r="C2" s="533"/>
      <c r="D2" s="41"/>
      <c r="E2" s="41"/>
      <c r="F2" s="41"/>
      <c r="G2" s="41"/>
      <c r="H2" s="41"/>
      <c r="I2" s="41"/>
      <c r="J2" s="41"/>
      <c r="K2" s="41"/>
      <c r="L2" s="41"/>
      <c r="M2" s="41"/>
      <c r="N2" s="41"/>
      <c r="O2" s="41"/>
      <c r="P2" s="41"/>
      <c r="Q2" s="41"/>
      <c r="R2" s="41"/>
      <c r="S2" s="41"/>
      <c r="T2" s="41"/>
      <c r="U2" s="539"/>
      <c r="V2" s="538"/>
      <c r="W2" s="41"/>
      <c r="X2" s="603"/>
      <c r="Y2" s="603"/>
      <c r="Z2" s="603"/>
      <c r="AA2" s="603"/>
      <c r="AB2" s="603"/>
      <c r="AC2" s="603"/>
      <c r="AD2" s="603"/>
      <c r="AE2" s="603"/>
      <c r="AF2" s="603"/>
      <c r="AG2" s="539" t="s">
        <v>477</v>
      </c>
      <c r="AH2" s="538">
        <v>45016</v>
      </c>
      <c r="AI2" s="603"/>
      <c r="AJ2" s="604"/>
    </row>
    <row r="3" spans="1:36" x14ac:dyDescent="0.25">
      <c r="B3" s="94"/>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5"/>
      <c r="AJ3" s="96"/>
    </row>
    <row r="4" spans="1:36" x14ac:dyDescent="0.25">
      <c r="B4" s="94"/>
      <c r="C4" s="536"/>
      <c r="D4" s="537" t="s">
        <v>473</v>
      </c>
      <c r="E4" s="537"/>
      <c r="F4" s="537"/>
      <c r="G4" s="537"/>
      <c r="H4" s="537"/>
      <c r="I4" s="537"/>
      <c r="J4" s="98"/>
      <c r="K4" s="95"/>
      <c r="L4" s="628" t="s">
        <v>509</v>
      </c>
      <c r="M4" s="629"/>
      <c r="N4" s="629"/>
      <c r="O4" s="629"/>
      <c r="P4" s="629"/>
      <c r="Q4" s="629"/>
      <c r="R4" s="629"/>
      <c r="S4" s="629"/>
      <c r="T4" s="629"/>
      <c r="U4" s="629"/>
      <c r="V4" s="630"/>
      <c r="W4" s="95"/>
      <c r="X4" s="43" t="s">
        <v>537</v>
      </c>
      <c r="Y4" s="97"/>
      <c r="Z4" s="97"/>
      <c r="AA4" s="97"/>
      <c r="AB4" s="97"/>
      <c r="AC4" s="97"/>
      <c r="AD4" s="97"/>
      <c r="AE4" s="97"/>
      <c r="AF4" s="97"/>
      <c r="AG4" s="97"/>
      <c r="AH4" s="97"/>
      <c r="AI4" s="98"/>
      <c r="AJ4" s="96"/>
    </row>
    <row r="5" spans="1:36" ht="95.25" customHeight="1" x14ac:dyDescent="0.25">
      <c r="B5" s="94"/>
      <c r="C5" s="99"/>
      <c r="D5" s="621" t="s">
        <v>474</v>
      </c>
      <c r="E5" s="621"/>
      <c r="F5" s="621"/>
      <c r="G5" s="621"/>
      <c r="H5" s="621"/>
      <c r="I5" s="621"/>
      <c r="J5" s="101"/>
      <c r="K5" s="95"/>
      <c r="L5" s="554"/>
      <c r="M5" s="624" t="s">
        <v>510</v>
      </c>
      <c r="N5" s="624"/>
      <c r="O5" s="624"/>
      <c r="P5" s="624"/>
      <c r="Q5" s="624"/>
      <c r="R5" s="624"/>
      <c r="S5" s="624"/>
      <c r="T5" s="624"/>
      <c r="U5" s="624"/>
      <c r="V5" s="625"/>
      <c r="W5" s="95"/>
      <c r="X5" s="99"/>
      <c r="Y5" s="624" t="s">
        <v>538</v>
      </c>
      <c r="Z5" s="624"/>
      <c r="AA5" s="624"/>
      <c r="AB5" s="624"/>
      <c r="AC5" s="624"/>
      <c r="AD5" s="624"/>
      <c r="AE5" s="624"/>
      <c r="AF5" s="624"/>
      <c r="AG5" s="624"/>
      <c r="AH5" s="624"/>
      <c r="AI5" s="625"/>
      <c r="AJ5" s="96"/>
    </row>
    <row r="6" spans="1:36" ht="32.25" customHeight="1" x14ac:dyDescent="0.25">
      <c r="B6" s="94"/>
      <c r="C6" s="99"/>
      <c r="D6" s="621" t="s">
        <v>475</v>
      </c>
      <c r="E6" s="621"/>
      <c r="F6" s="621"/>
      <c r="G6" s="621"/>
      <c r="H6" s="621"/>
      <c r="I6" s="621"/>
      <c r="J6" s="101"/>
      <c r="K6" s="95"/>
      <c r="L6" s="99"/>
      <c r="M6" s="542" t="s">
        <v>326</v>
      </c>
      <c r="N6" s="614" t="s">
        <v>512</v>
      </c>
      <c r="O6" s="614"/>
      <c r="P6" s="614"/>
      <c r="Q6" s="614"/>
      <c r="R6" s="614"/>
      <c r="S6" s="614"/>
      <c r="T6" s="614"/>
      <c r="U6" s="100"/>
      <c r="V6" s="101"/>
      <c r="W6" s="95"/>
      <c r="X6" s="99"/>
      <c r="Y6" s="624" t="s">
        <v>549</v>
      </c>
      <c r="Z6" s="624"/>
      <c r="AA6" s="624"/>
      <c r="AB6" s="624"/>
      <c r="AC6" s="624"/>
      <c r="AD6" s="624"/>
      <c r="AE6" s="624"/>
      <c r="AF6" s="624"/>
      <c r="AG6" s="624"/>
      <c r="AH6" s="624"/>
      <c r="AI6" s="625"/>
      <c r="AJ6" s="96"/>
    </row>
    <row r="7" spans="1:36" ht="19.5" customHeight="1" x14ac:dyDescent="0.25">
      <c r="B7" s="94"/>
      <c r="C7" s="102"/>
      <c r="D7" s="103"/>
      <c r="E7" s="103"/>
      <c r="F7" s="103"/>
      <c r="G7" s="103"/>
      <c r="H7" s="103"/>
      <c r="I7" s="103"/>
      <c r="J7" s="104"/>
      <c r="K7" s="95"/>
      <c r="L7" s="99"/>
      <c r="M7" s="100"/>
      <c r="N7" s="100"/>
      <c r="O7" s="100"/>
      <c r="P7" s="100"/>
      <c r="Q7" s="100"/>
      <c r="R7" s="100"/>
      <c r="S7" s="100"/>
      <c r="T7" s="100"/>
      <c r="U7" s="100"/>
      <c r="V7" s="101"/>
      <c r="W7" s="95"/>
      <c r="X7" s="99"/>
      <c r="Y7" s="624"/>
      <c r="Z7" s="624"/>
      <c r="AA7" s="624"/>
      <c r="AB7" s="624"/>
      <c r="AC7" s="624"/>
      <c r="AD7" s="624"/>
      <c r="AE7" s="624"/>
      <c r="AF7" s="624"/>
      <c r="AG7" s="624"/>
      <c r="AH7" s="624"/>
      <c r="AI7" s="625"/>
      <c r="AJ7" s="96"/>
    </row>
    <row r="8" spans="1:36" x14ac:dyDescent="0.25">
      <c r="B8" s="94"/>
      <c r="C8" s="95"/>
      <c r="D8" s="95"/>
      <c r="E8" s="95"/>
      <c r="F8" s="95"/>
      <c r="G8" s="95"/>
      <c r="H8" s="95"/>
      <c r="I8" s="95"/>
      <c r="J8" s="95"/>
      <c r="K8" s="95"/>
      <c r="L8" s="99"/>
      <c r="M8" s="100"/>
      <c r="N8" s="100"/>
      <c r="O8" s="100"/>
      <c r="P8" s="100"/>
      <c r="Q8" s="100"/>
      <c r="R8" s="100"/>
      <c r="S8" s="100"/>
      <c r="T8" s="100"/>
      <c r="U8" s="100"/>
      <c r="V8" s="101"/>
      <c r="W8" s="95"/>
      <c r="X8" s="99"/>
      <c r="Y8" s="624"/>
      <c r="Z8" s="624"/>
      <c r="AA8" s="624"/>
      <c r="AB8" s="624"/>
      <c r="AC8" s="624"/>
      <c r="AD8" s="624"/>
      <c r="AE8" s="624"/>
      <c r="AF8" s="624"/>
      <c r="AG8" s="624"/>
      <c r="AH8" s="624"/>
      <c r="AI8" s="625"/>
      <c r="AJ8" s="96"/>
    </row>
    <row r="9" spans="1:36" x14ac:dyDescent="0.25">
      <c r="B9" s="94"/>
      <c r="C9" s="536"/>
      <c r="D9" s="537" t="s">
        <v>478</v>
      </c>
      <c r="E9" s="537"/>
      <c r="F9" s="537"/>
      <c r="G9" s="537"/>
      <c r="H9" s="537"/>
      <c r="I9" s="537"/>
      <c r="J9" s="98"/>
      <c r="K9" s="95"/>
      <c r="L9" s="99"/>
      <c r="M9" s="542" t="s">
        <v>327</v>
      </c>
      <c r="N9" s="621" t="s">
        <v>514</v>
      </c>
      <c r="O9" s="621"/>
      <c r="P9" s="621"/>
      <c r="Q9" s="621"/>
      <c r="R9" s="621"/>
      <c r="S9" s="621"/>
      <c r="T9" s="621"/>
      <c r="U9" s="100"/>
      <c r="V9" s="101"/>
      <c r="W9" s="95"/>
      <c r="X9" s="99"/>
      <c r="Y9" s="624"/>
      <c r="Z9" s="624"/>
      <c r="AA9" s="624"/>
      <c r="AB9" s="624"/>
      <c r="AC9" s="624"/>
      <c r="AD9" s="624"/>
      <c r="AE9" s="624"/>
      <c r="AF9" s="624"/>
      <c r="AG9" s="624"/>
      <c r="AH9" s="624"/>
      <c r="AI9" s="625"/>
      <c r="AJ9" s="96"/>
    </row>
    <row r="10" spans="1:36" ht="33.75" customHeight="1" x14ac:dyDescent="0.25">
      <c r="B10" s="94"/>
      <c r="C10" s="99"/>
      <c r="D10" s="624" t="s">
        <v>479</v>
      </c>
      <c r="E10" s="624"/>
      <c r="F10" s="624"/>
      <c r="G10" s="624"/>
      <c r="H10" s="624"/>
      <c r="I10" s="624"/>
      <c r="J10" s="101"/>
      <c r="K10" s="95"/>
      <c r="L10" s="99"/>
      <c r="M10" s="100"/>
      <c r="N10" s="100"/>
      <c r="O10" s="100"/>
      <c r="P10" s="100"/>
      <c r="Q10" s="100"/>
      <c r="R10" s="100"/>
      <c r="S10" s="100"/>
      <c r="T10" s="100"/>
      <c r="U10" s="100"/>
      <c r="V10" s="101"/>
      <c r="W10" s="95"/>
      <c r="X10" s="99"/>
      <c r="Y10" s="624" t="s">
        <v>539</v>
      </c>
      <c r="Z10" s="624"/>
      <c r="AA10" s="624"/>
      <c r="AB10" s="624"/>
      <c r="AC10" s="624"/>
      <c r="AD10" s="624"/>
      <c r="AE10" s="624"/>
      <c r="AF10" s="624"/>
      <c r="AG10" s="624"/>
      <c r="AH10" s="624"/>
      <c r="AI10" s="625"/>
      <c r="AJ10" s="96"/>
    </row>
    <row r="11" spans="1:36" ht="35.25" customHeight="1" x14ac:dyDescent="0.25">
      <c r="B11" s="94"/>
      <c r="C11" s="102"/>
      <c r="D11" s="626"/>
      <c r="E11" s="626"/>
      <c r="F11" s="626"/>
      <c r="G11" s="626"/>
      <c r="H11" s="626"/>
      <c r="I11" s="626"/>
      <c r="J11" s="104"/>
      <c r="K11" s="95"/>
      <c r="L11" s="99"/>
      <c r="M11" s="558" t="s">
        <v>511</v>
      </c>
      <c r="N11" s="624" t="s">
        <v>513</v>
      </c>
      <c r="O11" s="624"/>
      <c r="P11" s="624"/>
      <c r="Q11" s="624"/>
      <c r="R11" s="624"/>
      <c r="S11" s="624"/>
      <c r="T11" s="624"/>
      <c r="U11" s="100"/>
      <c r="V11" s="101"/>
      <c r="W11" s="95"/>
      <c r="X11" s="99"/>
      <c r="Y11" s="621" t="s">
        <v>552</v>
      </c>
      <c r="Z11" s="621"/>
      <c r="AA11" s="621"/>
      <c r="AB11" s="621"/>
      <c r="AC11" s="621"/>
      <c r="AD11" s="621"/>
      <c r="AE11" s="621"/>
      <c r="AF11" s="621"/>
      <c r="AG11" s="621"/>
      <c r="AH11" s="621"/>
      <c r="AI11" s="623"/>
      <c r="AJ11" s="96"/>
    </row>
    <row r="12" spans="1:36" x14ac:dyDescent="0.25">
      <c r="B12" s="94"/>
      <c r="C12" s="95"/>
      <c r="D12" s="95"/>
      <c r="E12" s="95"/>
      <c r="F12" s="95"/>
      <c r="G12" s="95"/>
      <c r="H12" s="95"/>
      <c r="I12" s="95"/>
      <c r="J12" s="95"/>
      <c r="K12" s="95"/>
      <c r="L12" s="99"/>
      <c r="M12" s="100"/>
      <c r="N12" s="100"/>
      <c r="O12" s="100"/>
      <c r="P12" s="100"/>
      <c r="Q12" s="100"/>
      <c r="R12" s="100"/>
      <c r="S12" s="100"/>
      <c r="T12" s="100"/>
      <c r="U12" s="100"/>
      <c r="V12" s="101"/>
      <c r="W12" s="95"/>
      <c r="X12" s="99"/>
      <c r="Y12" s="621"/>
      <c r="Z12" s="621"/>
      <c r="AA12" s="621"/>
      <c r="AB12" s="621"/>
      <c r="AC12" s="621"/>
      <c r="AD12" s="621"/>
      <c r="AE12" s="621"/>
      <c r="AF12" s="621"/>
      <c r="AG12" s="621"/>
      <c r="AH12" s="621"/>
      <c r="AI12" s="623"/>
      <c r="AJ12" s="96"/>
    </row>
    <row r="13" spans="1:36" x14ac:dyDescent="0.25">
      <c r="B13" s="94"/>
      <c r="C13" s="536"/>
      <c r="D13" s="537" t="s">
        <v>480</v>
      </c>
      <c r="E13" s="537"/>
      <c r="F13" s="537"/>
      <c r="G13" s="537"/>
      <c r="H13" s="537"/>
      <c r="I13" s="537"/>
      <c r="J13" s="98"/>
      <c r="K13" s="95"/>
      <c r="L13" s="99"/>
      <c r="M13" s="100"/>
      <c r="N13" s="100"/>
      <c r="O13" s="100"/>
      <c r="P13" s="100"/>
      <c r="Q13" s="100"/>
      <c r="R13" s="100"/>
      <c r="S13" s="100"/>
      <c r="T13" s="100"/>
      <c r="U13" s="100"/>
      <c r="V13" s="101"/>
      <c r="W13" s="95"/>
      <c r="X13" s="99"/>
      <c r="Y13" s="613" t="s">
        <v>553</v>
      </c>
      <c r="Z13" s="613"/>
      <c r="AA13" s="613"/>
      <c r="AB13" s="613"/>
      <c r="AC13" s="613"/>
      <c r="AD13" s="613" t="str">
        <f>Klimagassberegninger!G5</f>
        <v>VegLCA v5.11B. 02.03.22</v>
      </c>
      <c r="AE13" s="613"/>
      <c r="AF13" s="613"/>
      <c r="AG13" s="100" t="s">
        <v>554</v>
      </c>
      <c r="AH13" s="611" t="str">
        <f>Klimagassberegninger!G6</f>
        <v>31.03.2023</v>
      </c>
      <c r="AI13" s="101"/>
      <c r="AJ13" s="96"/>
    </row>
    <row r="14" spans="1:36" x14ac:dyDescent="0.25">
      <c r="B14" s="94"/>
      <c r="C14" s="99"/>
      <c r="D14" s="614" t="s">
        <v>481</v>
      </c>
      <c r="E14" s="614"/>
      <c r="F14" s="614"/>
      <c r="G14" s="614"/>
      <c r="H14" s="614"/>
      <c r="I14" s="614"/>
      <c r="J14" s="101"/>
      <c r="K14" s="95"/>
      <c r="L14" s="540"/>
      <c r="M14" s="540"/>
      <c r="N14" s="540"/>
      <c r="O14" s="540"/>
      <c r="P14" s="540"/>
      <c r="Q14" s="540"/>
      <c r="R14" s="540"/>
      <c r="S14" s="540"/>
      <c r="T14" s="540"/>
      <c r="U14" s="540"/>
      <c r="V14" s="540"/>
      <c r="W14" s="95"/>
      <c r="X14" s="605"/>
      <c r="Y14" s="605"/>
      <c r="Z14" s="605"/>
      <c r="AA14" s="605"/>
      <c r="AB14" s="605"/>
      <c r="AC14" s="605"/>
      <c r="AD14" s="605"/>
      <c r="AE14" s="605"/>
      <c r="AF14" s="605"/>
      <c r="AG14" s="605"/>
      <c r="AH14" s="605"/>
      <c r="AI14" s="605"/>
      <c r="AJ14" s="96"/>
    </row>
    <row r="15" spans="1:36" x14ac:dyDescent="0.25">
      <c r="B15" s="94"/>
      <c r="C15" s="99"/>
      <c r="D15" s="547"/>
      <c r="E15" s="547"/>
      <c r="F15" s="547"/>
      <c r="G15" s="547"/>
      <c r="H15" s="547"/>
      <c r="I15" s="547"/>
      <c r="J15" s="101"/>
      <c r="K15" s="95"/>
      <c r="L15" s="43" t="s">
        <v>515</v>
      </c>
      <c r="M15" s="97"/>
      <c r="N15" s="97"/>
      <c r="O15" s="97"/>
      <c r="P15" s="97"/>
      <c r="Q15" s="97"/>
      <c r="R15" s="97"/>
      <c r="S15" s="97"/>
      <c r="T15" s="97"/>
      <c r="U15" s="97"/>
      <c r="V15" s="98"/>
      <c r="W15" s="95"/>
      <c r="X15" s="607" t="s">
        <v>540</v>
      </c>
      <c r="Y15" s="534"/>
      <c r="Z15" s="534"/>
      <c r="AA15" s="534"/>
      <c r="AB15" s="534"/>
      <c r="AC15" s="534"/>
      <c r="AD15" s="534"/>
      <c r="AE15" s="534"/>
      <c r="AF15" s="534"/>
      <c r="AG15" s="534"/>
      <c r="AH15" s="534"/>
      <c r="AI15" s="606"/>
      <c r="AJ15" s="96"/>
    </row>
    <row r="16" spans="1:36" ht="22.5" customHeight="1" x14ac:dyDescent="0.25">
      <c r="B16" s="94"/>
      <c r="C16" s="99"/>
      <c r="D16" s="624" t="s">
        <v>482</v>
      </c>
      <c r="E16" s="624"/>
      <c r="F16" s="624"/>
      <c r="G16" s="624"/>
      <c r="H16" s="624"/>
      <c r="I16" s="624"/>
      <c r="J16" s="101"/>
      <c r="K16" s="95"/>
      <c r="L16" s="99"/>
      <c r="M16" s="631" t="s">
        <v>516</v>
      </c>
      <c r="N16" s="631"/>
      <c r="O16" s="631"/>
      <c r="P16" s="631"/>
      <c r="Q16" s="631"/>
      <c r="R16" s="631"/>
      <c r="S16" s="631"/>
      <c r="T16" s="631"/>
      <c r="U16" s="631"/>
      <c r="V16" s="632"/>
      <c r="W16" s="95"/>
      <c r="X16" s="99"/>
      <c r="Y16" s="624" t="s">
        <v>541</v>
      </c>
      <c r="Z16" s="624"/>
      <c r="AA16" s="624"/>
      <c r="AB16" s="624"/>
      <c r="AC16" s="624"/>
      <c r="AD16" s="624"/>
      <c r="AE16" s="624"/>
      <c r="AF16" s="624"/>
      <c r="AG16" s="624"/>
      <c r="AH16" s="624"/>
      <c r="AI16" s="625"/>
      <c r="AJ16" s="96"/>
    </row>
    <row r="17" spans="2:36" ht="34.5" customHeight="1" x14ac:dyDescent="0.25">
      <c r="B17" s="94"/>
      <c r="C17" s="99"/>
      <c r="D17" s="624"/>
      <c r="E17" s="624"/>
      <c r="F17" s="624"/>
      <c r="G17" s="624"/>
      <c r="H17" s="624"/>
      <c r="I17" s="624"/>
      <c r="J17" s="101"/>
      <c r="K17" s="95"/>
      <c r="L17" s="99"/>
      <c r="M17" s="633" t="s">
        <v>517</v>
      </c>
      <c r="N17" s="633"/>
      <c r="O17" s="633"/>
      <c r="P17" s="633"/>
      <c r="Q17" s="633"/>
      <c r="R17" s="633"/>
      <c r="S17" s="633"/>
      <c r="T17" s="633"/>
      <c r="U17" s="633"/>
      <c r="V17" s="634"/>
      <c r="W17" s="95"/>
      <c r="X17" s="99"/>
      <c r="Y17" s="624"/>
      <c r="Z17" s="624"/>
      <c r="AA17" s="624"/>
      <c r="AB17" s="624"/>
      <c r="AC17" s="624"/>
      <c r="AD17" s="624"/>
      <c r="AE17" s="624"/>
      <c r="AF17" s="624"/>
      <c r="AG17" s="624"/>
      <c r="AH17" s="624"/>
      <c r="AI17" s="625"/>
      <c r="AJ17" s="96"/>
    </row>
    <row r="18" spans="2:36" x14ac:dyDescent="0.25">
      <c r="B18" s="94"/>
      <c r="C18" s="99"/>
      <c r="D18" s="543" t="s">
        <v>483</v>
      </c>
      <c r="E18" s="543"/>
      <c r="F18" s="543"/>
      <c r="G18" s="543"/>
      <c r="H18" s="543"/>
      <c r="I18" s="543"/>
      <c r="J18" s="101"/>
      <c r="K18" s="95"/>
      <c r="L18" s="102"/>
      <c r="M18" s="103"/>
      <c r="N18" s="103"/>
      <c r="O18" s="103"/>
      <c r="P18" s="103"/>
      <c r="Q18" s="103"/>
      <c r="R18" s="103"/>
      <c r="S18" s="103"/>
      <c r="T18" s="103"/>
      <c r="U18" s="103"/>
      <c r="V18" s="104"/>
      <c r="W18" s="95"/>
      <c r="X18" s="99"/>
      <c r="Y18" s="621" t="s">
        <v>550</v>
      </c>
      <c r="Z18" s="621"/>
      <c r="AA18" s="621"/>
      <c r="AB18" s="621"/>
      <c r="AC18" s="621"/>
      <c r="AD18" s="621"/>
      <c r="AE18" s="621"/>
      <c r="AF18" s="621"/>
      <c r="AG18" s="621"/>
      <c r="AH18" s="621"/>
      <c r="AI18" s="623"/>
      <c r="AJ18" s="96"/>
    </row>
    <row r="19" spans="2:36" ht="18" customHeight="1" x14ac:dyDescent="0.25">
      <c r="B19" s="94"/>
      <c r="C19" s="99"/>
      <c r="D19" s="624" t="s">
        <v>543</v>
      </c>
      <c r="E19" s="624"/>
      <c r="F19" s="624"/>
      <c r="G19" s="624"/>
      <c r="H19" s="624"/>
      <c r="I19" s="624"/>
      <c r="J19" s="101"/>
      <c r="K19" s="95"/>
      <c r="L19" s="95"/>
      <c r="M19" s="95"/>
      <c r="N19" s="95"/>
      <c r="O19" s="95"/>
      <c r="P19" s="95"/>
      <c r="Q19" s="95"/>
      <c r="R19" s="95"/>
      <c r="S19" s="95"/>
      <c r="T19" s="95"/>
      <c r="U19" s="95"/>
      <c r="V19" s="95"/>
      <c r="W19" s="95"/>
      <c r="X19" s="99"/>
      <c r="Y19" s="621"/>
      <c r="Z19" s="621"/>
      <c r="AA19" s="621"/>
      <c r="AB19" s="621"/>
      <c r="AC19" s="621"/>
      <c r="AD19" s="621"/>
      <c r="AE19" s="621"/>
      <c r="AF19" s="621"/>
      <c r="AG19" s="621"/>
      <c r="AH19" s="621"/>
      <c r="AI19" s="623"/>
      <c r="AJ19" s="96"/>
    </row>
    <row r="20" spans="2:36" x14ac:dyDescent="0.25">
      <c r="B20" s="94"/>
      <c r="C20" s="99"/>
      <c r="D20" s="624"/>
      <c r="E20" s="624"/>
      <c r="F20" s="624"/>
      <c r="G20" s="624"/>
      <c r="H20" s="624"/>
      <c r="I20" s="624"/>
      <c r="J20" s="101"/>
      <c r="K20" s="95"/>
      <c r="L20" s="43" t="s">
        <v>518</v>
      </c>
      <c r="M20" s="97"/>
      <c r="N20" s="97"/>
      <c r="O20" s="97"/>
      <c r="P20" s="97"/>
      <c r="Q20" s="97"/>
      <c r="R20" s="97"/>
      <c r="S20" s="97"/>
      <c r="T20" s="97"/>
      <c r="U20" s="97"/>
      <c r="V20" s="98"/>
      <c r="W20" s="95"/>
      <c r="X20" s="99"/>
      <c r="Y20" s="100"/>
      <c r="Z20" s="100"/>
      <c r="AA20" s="100"/>
      <c r="AB20" s="100"/>
      <c r="AC20" s="100"/>
      <c r="AD20" s="100"/>
      <c r="AE20" s="100"/>
      <c r="AF20" s="100"/>
      <c r="AG20" s="100"/>
      <c r="AH20" s="100"/>
      <c r="AI20" s="101"/>
      <c r="AJ20" s="96"/>
    </row>
    <row r="21" spans="2:36" ht="49.5" customHeight="1" x14ac:dyDescent="0.25">
      <c r="B21" s="94"/>
      <c r="C21" s="99"/>
      <c r="D21" s="624"/>
      <c r="E21" s="624"/>
      <c r="F21" s="624"/>
      <c r="G21" s="624"/>
      <c r="H21" s="624"/>
      <c r="I21" s="624"/>
      <c r="J21" s="101"/>
      <c r="K21" s="95"/>
      <c r="L21" s="99"/>
      <c r="M21" s="621" t="s">
        <v>545</v>
      </c>
      <c r="N21" s="621"/>
      <c r="O21" s="621"/>
      <c r="P21" s="621"/>
      <c r="Q21" s="621"/>
      <c r="R21" s="621"/>
      <c r="S21" s="621"/>
      <c r="T21" s="621"/>
      <c r="U21" s="621"/>
      <c r="V21" s="623"/>
      <c r="W21" s="95"/>
      <c r="X21" s="99"/>
      <c r="Y21" s="624" t="s">
        <v>551</v>
      </c>
      <c r="Z21" s="624"/>
      <c r="AA21" s="624"/>
      <c r="AB21" s="624"/>
      <c r="AC21" s="624"/>
      <c r="AD21" s="624"/>
      <c r="AE21" s="624"/>
      <c r="AF21" s="624"/>
      <c r="AG21" s="624"/>
      <c r="AH21" s="624"/>
      <c r="AI21" s="625"/>
      <c r="AJ21" s="96"/>
    </row>
    <row r="22" spans="2:36" x14ac:dyDescent="0.25">
      <c r="B22" s="94"/>
      <c r="C22" s="99"/>
      <c r="D22" s="100"/>
      <c r="E22" s="100"/>
      <c r="F22" s="100"/>
      <c r="G22" s="100"/>
      <c r="H22" s="100"/>
      <c r="I22" s="100"/>
      <c r="J22" s="101"/>
      <c r="K22" s="95"/>
      <c r="L22" s="99"/>
      <c r="M22" s="621"/>
      <c r="N22" s="621"/>
      <c r="O22" s="621"/>
      <c r="P22" s="621"/>
      <c r="Q22" s="621"/>
      <c r="R22" s="621"/>
      <c r="S22" s="621"/>
      <c r="T22" s="621"/>
      <c r="U22" s="621"/>
      <c r="V22" s="623"/>
      <c r="W22" s="95"/>
      <c r="X22" s="99"/>
      <c r="Y22" s="624"/>
      <c r="Z22" s="624"/>
      <c r="AA22" s="624"/>
      <c r="AB22" s="624"/>
      <c r="AC22" s="624"/>
      <c r="AD22" s="624"/>
      <c r="AE22" s="624"/>
      <c r="AF22" s="624"/>
      <c r="AG22" s="624"/>
      <c r="AH22" s="624"/>
      <c r="AI22" s="625"/>
      <c r="AJ22" s="96"/>
    </row>
    <row r="23" spans="2:36" x14ac:dyDescent="0.25">
      <c r="B23" s="94"/>
      <c r="C23" s="99"/>
      <c r="D23" s="100"/>
      <c r="E23" s="100"/>
      <c r="F23" s="100"/>
      <c r="G23" s="100"/>
      <c r="H23" s="100"/>
      <c r="I23" s="100"/>
      <c r="J23" s="101"/>
      <c r="K23" s="95"/>
      <c r="L23" s="99"/>
      <c r="M23" s="535"/>
      <c r="N23" s="535"/>
      <c r="O23" s="535"/>
      <c r="P23" s="535"/>
      <c r="Q23" s="535"/>
      <c r="R23" s="535"/>
      <c r="S23" s="535"/>
      <c r="T23" s="535"/>
      <c r="U23" s="535"/>
      <c r="V23" s="557"/>
      <c r="W23" s="95"/>
      <c r="X23" s="99"/>
      <c r="Y23" s="100"/>
      <c r="Z23" s="100"/>
      <c r="AA23" s="100"/>
      <c r="AB23" s="100"/>
      <c r="AC23" s="100"/>
      <c r="AD23" s="100"/>
      <c r="AE23" s="100"/>
      <c r="AF23" s="100"/>
      <c r="AG23" s="100"/>
      <c r="AH23" s="100"/>
      <c r="AI23" s="101"/>
      <c r="AJ23" s="96"/>
    </row>
    <row r="24" spans="2:36" x14ac:dyDescent="0.25">
      <c r="B24" s="94"/>
      <c r="C24" s="99"/>
      <c r="D24" s="100"/>
      <c r="E24" s="100"/>
      <c r="F24" s="100"/>
      <c r="G24" s="100"/>
      <c r="H24" s="100"/>
      <c r="I24" s="100"/>
      <c r="J24" s="101"/>
      <c r="K24" s="95"/>
      <c r="L24" s="99"/>
      <c r="M24" s="622" t="s">
        <v>519</v>
      </c>
      <c r="N24" s="622"/>
      <c r="O24" s="622"/>
      <c r="P24" s="622"/>
      <c r="Q24" s="622"/>
      <c r="R24" s="622"/>
      <c r="S24" s="622"/>
      <c r="T24" s="622"/>
      <c r="U24" s="622"/>
      <c r="V24" s="627"/>
      <c r="W24" s="95"/>
      <c r="X24" s="540"/>
      <c r="Y24" s="540"/>
      <c r="Z24" s="540"/>
      <c r="AA24" s="540"/>
      <c r="AB24" s="540"/>
      <c r="AC24" s="540"/>
      <c r="AD24" s="540"/>
      <c r="AE24" s="540"/>
      <c r="AF24" s="540"/>
      <c r="AG24" s="540"/>
      <c r="AH24" s="540"/>
      <c r="AI24" s="540"/>
      <c r="AJ24" s="96"/>
    </row>
    <row r="25" spans="2:36" ht="15" customHeight="1" x14ac:dyDescent="0.25">
      <c r="B25" s="94"/>
      <c r="C25" s="99"/>
      <c r="D25" s="100"/>
      <c r="E25" s="100"/>
      <c r="F25" s="100"/>
      <c r="G25" s="100"/>
      <c r="H25" s="100"/>
      <c r="I25" s="100"/>
      <c r="J25" s="101"/>
      <c r="K25" s="95"/>
      <c r="L25" s="99"/>
      <c r="M25" s="624" t="s">
        <v>520</v>
      </c>
      <c r="N25" s="624"/>
      <c r="O25" s="624"/>
      <c r="P25" s="624"/>
      <c r="Q25" s="624"/>
      <c r="R25" s="624"/>
      <c r="S25" s="624"/>
      <c r="T25" s="624"/>
      <c r="U25" s="624"/>
      <c r="V25" s="625"/>
      <c r="W25" s="95"/>
      <c r="X25" s="95"/>
      <c r="Y25" s="95"/>
      <c r="Z25" s="95"/>
      <c r="AA25" s="95"/>
      <c r="AB25" s="95"/>
      <c r="AC25" s="95"/>
      <c r="AD25" s="95"/>
      <c r="AE25" s="95"/>
      <c r="AF25" s="95"/>
      <c r="AG25" s="95"/>
      <c r="AH25" s="95"/>
      <c r="AI25" s="95"/>
      <c r="AJ25" s="96"/>
    </row>
    <row r="26" spans="2:36" x14ac:dyDescent="0.25">
      <c r="B26" s="94"/>
      <c r="C26" s="99"/>
      <c r="D26" s="100"/>
      <c r="E26" s="100"/>
      <c r="F26" s="100"/>
      <c r="G26" s="100"/>
      <c r="H26" s="100"/>
      <c r="I26" s="100"/>
      <c r="J26" s="101"/>
      <c r="K26" s="95"/>
      <c r="L26" s="99"/>
      <c r="M26" s="624"/>
      <c r="N26" s="624"/>
      <c r="O26" s="624"/>
      <c r="P26" s="624"/>
      <c r="Q26" s="624"/>
      <c r="R26" s="624"/>
      <c r="S26" s="624"/>
      <c r="T26" s="624"/>
      <c r="U26" s="624"/>
      <c r="V26" s="625"/>
      <c r="W26" s="95"/>
      <c r="X26" s="95"/>
      <c r="Y26" s="95"/>
      <c r="Z26" s="95"/>
      <c r="AA26" s="95"/>
      <c r="AB26" s="95"/>
      <c r="AC26" s="95"/>
      <c r="AD26" s="95"/>
      <c r="AE26" s="95"/>
      <c r="AF26" s="95"/>
      <c r="AG26" s="95"/>
      <c r="AH26" s="95"/>
      <c r="AI26" s="95"/>
      <c r="AJ26" s="96"/>
    </row>
    <row r="27" spans="2:36" x14ac:dyDescent="0.25">
      <c r="B27" s="94"/>
      <c r="C27" s="99"/>
      <c r="D27" s="100"/>
      <c r="E27" s="100"/>
      <c r="F27" s="100"/>
      <c r="G27" s="100"/>
      <c r="H27" s="100"/>
      <c r="I27" s="100"/>
      <c r="J27" s="101"/>
      <c r="K27" s="95"/>
      <c r="L27" s="99"/>
      <c r="M27" s="624"/>
      <c r="N27" s="624"/>
      <c r="O27" s="624"/>
      <c r="P27" s="624"/>
      <c r="Q27" s="624"/>
      <c r="R27" s="624"/>
      <c r="S27" s="624"/>
      <c r="T27" s="624"/>
      <c r="U27" s="624"/>
      <c r="V27" s="625"/>
      <c r="W27" s="95"/>
      <c r="X27" s="95"/>
      <c r="Y27" s="95"/>
      <c r="Z27" s="95"/>
      <c r="AA27" s="95"/>
      <c r="AB27" s="95"/>
      <c r="AC27" s="95"/>
      <c r="AD27" s="95"/>
      <c r="AE27" s="95"/>
      <c r="AF27" s="95"/>
      <c r="AG27" s="95"/>
      <c r="AH27" s="95"/>
      <c r="AI27" s="95"/>
      <c r="AJ27" s="96"/>
    </row>
    <row r="28" spans="2:36" x14ac:dyDescent="0.25">
      <c r="B28" s="94"/>
      <c r="C28" s="99"/>
      <c r="D28" s="100"/>
      <c r="E28" s="100"/>
      <c r="F28" s="100"/>
      <c r="G28" s="100"/>
      <c r="H28" s="100"/>
      <c r="I28" s="100"/>
      <c r="J28" s="101"/>
      <c r="K28" s="95"/>
      <c r="L28" s="99"/>
      <c r="M28" s="624"/>
      <c r="N28" s="624"/>
      <c r="O28" s="624"/>
      <c r="P28" s="624"/>
      <c r="Q28" s="624"/>
      <c r="R28" s="624"/>
      <c r="S28" s="624"/>
      <c r="T28" s="624"/>
      <c r="U28" s="624"/>
      <c r="V28" s="625"/>
      <c r="W28" s="95"/>
      <c r="X28" s="95"/>
      <c r="Y28" s="95"/>
      <c r="Z28" s="95"/>
      <c r="AA28" s="95"/>
      <c r="AB28" s="95"/>
      <c r="AC28" s="95"/>
      <c r="AD28" s="95"/>
      <c r="AE28" s="95"/>
      <c r="AF28" s="95"/>
      <c r="AG28" s="95"/>
      <c r="AH28" s="95"/>
      <c r="AI28" s="95"/>
      <c r="AJ28" s="96"/>
    </row>
    <row r="29" spans="2:36" x14ac:dyDescent="0.25">
      <c r="B29" s="94"/>
      <c r="C29" s="99"/>
      <c r="D29" s="100"/>
      <c r="E29" s="100"/>
      <c r="F29" s="100"/>
      <c r="G29" s="100"/>
      <c r="H29" s="100"/>
      <c r="I29" s="100"/>
      <c r="J29" s="101"/>
      <c r="K29" s="95"/>
      <c r="L29" s="99"/>
      <c r="M29" s="555"/>
      <c r="N29" s="555"/>
      <c r="O29" s="555"/>
      <c r="P29" s="555"/>
      <c r="Q29" s="555"/>
      <c r="R29" s="555"/>
      <c r="S29" s="555"/>
      <c r="T29" s="555"/>
      <c r="U29" s="555"/>
      <c r="V29" s="556"/>
      <c r="W29" s="95"/>
      <c r="X29" s="95"/>
      <c r="Y29" s="95"/>
      <c r="Z29" s="95"/>
      <c r="AA29" s="95"/>
      <c r="AB29" s="95"/>
      <c r="AC29" s="95"/>
      <c r="AD29" s="95"/>
      <c r="AE29" s="95"/>
      <c r="AF29" s="95"/>
      <c r="AG29" s="95"/>
      <c r="AH29" s="95"/>
      <c r="AI29" s="95"/>
      <c r="AJ29" s="96"/>
    </row>
    <row r="30" spans="2:36" ht="15" customHeight="1" x14ac:dyDescent="0.25">
      <c r="B30" s="94"/>
      <c r="C30" s="99"/>
      <c r="D30" s="100"/>
      <c r="E30" s="100"/>
      <c r="F30" s="100"/>
      <c r="G30" s="100"/>
      <c r="H30" s="100"/>
      <c r="I30" s="100"/>
      <c r="J30" s="101"/>
      <c r="K30" s="95"/>
      <c r="L30" s="99"/>
      <c r="M30" s="624" t="s">
        <v>521</v>
      </c>
      <c r="N30" s="624"/>
      <c r="O30" s="624"/>
      <c r="P30" s="624"/>
      <c r="Q30" s="624"/>
      <c r="R30" s="624"/>
      <c r="S30" s="624"/>
      <c r="T30" s="624"/>
      <c r="U30" s="624"/>
      <c r="V30" s="625"/>
      <c r="W30" s="95"/>
      <c r="X30" s="95"/>
      <c r="Y30" s="95"/>
      <c r="Z30" s="95"/>
      <c r="AA30" s="95"/>
      <c r="AB30" s="95"/>
      <c r="AC30" s="95"/>
      <c r="AD30" s="95"/>
      <c r="AE30" s="95"/>
      <c r="AF30" s="95"/>
      <c r="AG30" s="95"/>
      <c r="AH30" s="95"/>
      <c r="AI30" s="95"/>
      <c r="AJ30" s="96"/>
    </row>
    <row r="31" spans="2:36" x14ac:dyDescent="0.25">
      <c r="B31" s="94"/>
      <c r="C31" s="99"/>
      <c r="D31" s="541"/>
      <c r="E31" s="541"/>
      <c r="F31" s="541"/>
      <c r="G31" s="541"/>
      <c r="H31" s="541"/>
      <c r="I31" s="541"/>
      <c r="J31" s="101"/>
      <c r="K31" s="95"/>
      <c r="L31" s="99"/>
      <c r="M31" s="624"/>
      <c r="N31" s="624"/>
      <c r="O31" s="624"/>
      <c r="P31" s="624"/>
      <c r="Q31" s="624"/>
      <c r="R31" s="624"/>
      <c r="S31" s="624"/>
      <c r="T31" s="624"/>
      <c r="U31" s="624"/>
      <c r="V31" s="625"/>
      <c r="W31" s="95"/>
      <c r="X31" s="95"/>
      <c r="Y31" s="95"/>
      <c r="Z31" s="95"/>
      <c r="AA31" s="95"/>
      <c r="AB31" s="95"/>
      <c r="AC31" s="95"/>
      <c r="AD31" s="95"/>
      <c r="AE31" s="95"/>
      <c r="AF31" s="95"/>
      <c r="AG31" s="95"/>
      <c r="AH31" s="95"/>
      <c r="AI31" s="95"/>
      <c r="AJ31" s="96"/>
    </row>
    <row r="32" spans="2:36" x14ac:dyDescent="0.25">
      <c r="B32" s="94"/>
      <c r="C32" s="99"/>
      <c r="D32" s="100"/>
      <c r="E32" s="100"/>
      <c r="F32" s="100"/>
      <c r="G32" s="100"/>
      <c r="H32" s="100"/>
      <c r="I32" s="100"/>
      <c r="J32" s="101"/>
      <c r="K32" s="95"/>
      <c r="L32" s="99"/>
      <c r="M32" s="624"/>
      <c r="N32" s="624"/>
      <c r="O32" s="624"/>
      <c r="P32" s="624"/>
      <c r="Q32" s="624"/>
      <c r="R32" s="624"/>
      <c r="S32" s="624"/>
      <c r="T32" s="624"/>
      <c r="U32" s="624"/>
      <c r="V32" s="625"/>
      <c r="W32" s="95"/>
      <c r="X32" s="95"/>
      <c r="Y32" s="95"/>
      <c r="Z32" s="95"/>
      <c r="AA32" s="95"/>
      <c r="AB32" s="95"/>
      <c r="AC32" s="95"/>
      <c r="AD32" s="95"/>
      <c r="AE32" s="95"/>
      <c r="AF32" s="95"/>
      <c r="AG32" s="95"/>
      <c r="AH32" s="95"/>
      <c r="AI32" s="95"/>
      <c r="AJ32" s="96"/>
    </row>
    <row r="33" spans="2:36" x14ac:dyDescent="0.25">
      <c r="B33" s="94"/>
      <c r="C33" s="99"/>
      <c r="D33" s="100"/>
      <c r="E33" s="100"/>
      <c r="F33" s="100"/>
      <c r="G33" s="100"/>
      <c r="H33" s="100"/>
      <c r="I33" s="100"/>
      <c r="J33" s="101"/>
      <c r="K33" s="95"/>
      <c r="L33" s="99"/>
      <c r="M33" s="624"/>
      <c r="N33" s="624"/>
      <c r="O33" s="624"/>
      <c r="P33" s="624"/>
      <c r="Q33" s="624"/>
      <c r="R33" s="624"/>
      <c r="S33" s="624"/>
      <c r="T33" s="624"/>
      <c r="U33" s="624"/>
      <c r="V33" s="625"/>
      <c r="W33" s="95"/>
      <c r="X33" s="95"/>
      <c r="Y33" s="95"/>
      <c r="Z33" s="95"/>
      <c r="AA33" s="95"/>
      <c r="AB33" s="95"/>
      <c r="AC33" s="95"/>
      <c r="AD33" s="95"/>
      <c r="AE33" s="95"/>
      <c r="AF33" s="95"/>
      <c r="AG33" s="95"/>
      <c r="AH33" s="95"/>
      <c r="AI33" s="95"/>
      <c r="AJ33" s="96"/>
    </row>
    <row r="34" spans="2:36" x14ac:dyDescent="0.25">
      <c r="B34" s="94"/>
      <c r="C34" s="99"/>
      <c r="D34" s="100"/>
      <c r="E34" s="100"/>
      <c r="F34" s="100"/>
      <c r="G34" s="100"/>
      <c r="H34" s="100"/>
      <c r="I34" s="100"/>
      <c r="J34" s="101"/>
      <c r="K34" s="95"/>
      <c r="L34" s="99"/>
      <c r="M34" s="624"/>
      <c r="N34" s="624"/>
      <c r="O34" s="624"/>
      <c r="P34" s="624"/>
      <c r="Q34" s="624"/>
      <c r="R34" s="624"/>
      <c r="S34" s="624"/>
      <c r="T34" s="624"/>
      <c r="U34" s="624"/>
      <c r="V34" s="625"/>
      <c r="W34" s="95"/>
      <c r="X34" s="95"/>
      <c r="Y34" s="95"/>
      <c r="Z34" s="95"/>
      <c r="AA34" s="95"/>
      <c r="AB34" s="95"/>
      <c r="AC34" s="95"/>
      <c r="AD34" s="95"/>
      <c r="AE34" s="95"/>
      <c r="AF34" s="95"/>
      <c r="AG34" s="95"/>
      <c r="AH34" s="95"/>
      <c r="AI34" s="95"/>
      <c r="AJ34" s="96"/>
    </row>
    <row r="35" spans="2:36" x14ac:dyDescent="0.25">
      <c r="B35" s="94"/>
      <c r="C35" s="99"/>
      <c r="D35" s="543" t="s">
        <v>58</v>
      </c>
      <c r="E35" s="543"/>
      <c r="F35" s="543"/>
      <c r="G35" s="543"/>
      <c r="H35" s="543"/>
      <c r="I35" s="543"/>
      <c r="J35" s="101"/>
      <c r="K35" s="95"/>
      <c r="L35" s="99"/>
      <c r="M35" s="552"/>
      <c r="N35" s="552"/>
      <c r="O35" s="552"/>
      <c r="P35" s="552"/>
      <c r="Q35" s="552"/>
      <c r="R35" s="552"/>
      <c r="S35" s="552"/>
      <c r="T35" s="552"/>
      <c r="U35" s="552"/>
      <c r="V35" s="553"/>
      <c r="W35" s="95"/>
      <c r="X35" s="95"/>
      <c r="Y35" s="95"/>
      <c r="Z35" s="95"/>
      <c r="AA35" s="95"/>
      <c r="AB35" s="95"/>
      <c r="AC35" s="95"/>
      <c r="AD35" s="95"/>
      <c r="AE35" s="95"/>
      <c r="AF35" s="95"/>
      <c r="AG35" s="95"/>
      <c r="AH35" s="95"/>
      <c r="AI35" s="95"/>
      <c r="AJ35" s="96"/>
    </row>
    <row r="36" spans="2:36" x14ac:dyDescent="0.25">
      <c r="B36" s="94"/>
      <c r="C36" s="99"/>
      <c r="D36" s="100"/>
      <c r="E36" s="100"/>
      <c r="F36" s="100"/>
      <c r="G36" s="100"/>
      <c r="H36" s="100"/>
      <c r="I36" s="100"/>
      <c r="J36" s="101"/>
      <c r="K36" s="95"/>
      <c r="L36" s="99"/>
      <c r="M36" s="100" t="s">
        <v>522</v>
      </c>
      <c r="N36" s="100"/>
      <c r="O36" s="100"/>
      <c r="P36" s="100"/>
      <c r="Q36" s="100"/>
      <c r="R36" s="100"/>
      <c r="S36" s="100"/>
      <c r="T36" s="100"/>
      <c r="U36" s="100"/>
      <c r="V36" s="101"/>
      <c r="W36" s="95"/>
      <c r="X36" s="95"/>
      <c r="Y36" s="95"/>
      <c r="Z36" s="95"/>
      <c r="AA36" s="95"/>
      <c r="AB36" s="95"/>
      <c r="AC36" s="95"/>
      <c r="AD36" s="95"/>
      <c r="AE36" s="95"/>
      <c r="AF36" s="95"/>
      <c r="AG36" s="95"/>
      <c r="AH36" s="95"/>
      <c r="AI36" s="95"/>
      <c r="AJ36" s="96"/>
    </row>
    <row r="37" spans="2:36" x14ac:dyDescent="0.25">
      <c r="B37" s="94"/>
      <c r="C37" s="99"/>
      <c r="D37" s="100"/>
      <c r="E37" s="100"/>
      <c r="F37" s="100"/>
      <c r="G37" s="100"/>
      <c r="H37" s="100"/>
      <c r="I37" s="100"/>
      <c r="J37" s="101"/>
      <c r="K37" s="95"/>
      <c r="L37" s="99"/>
      <c r="M37" s="100" t="s">
        <v>523</v>
      </c>
      <c r="N37" s="100"/>
      <c r="O37" s="100"/>
      <c r="P37" s="100"/>
      <c r="Q37" s="100"/>
      <c r="R37" s="100"/>
      <c r="S37" s="100"/>
      <c r="T37" s="100"/>
      <c r="U37" s="100"/>
      <c r="V37" s="101"/>
      <c r="W37" s="95"/>
      <c r="X37" s="95"/>
      <c r="Y37" s="95"/>
      <c r="Z37" s="95"/>
      <c r="AA37" s="95"/>
      <c r="AB37" s="95"/>
      <c r="AC37" s="95"/>
      <c r="AD37" s="95"/>
      <c r="AE37" s="95"/>
      <c r="AF37" s="95"/>
      <c r="AG37" s="95"/>
      <c r="AH37" s="95"/>
      <c r="AI37" s="95"/>
      <c r="AJ37" s="96"/>
    </row>
    <row r="38" spans="2:36" x14ac:dyDescent="0.25">
      <c r="B38" s="94"/>
      <c r="C38" s="99"/>
      <c r="D38" s="100"/>
      <c r="E38" s="100"/>
      <c r="F38" s="100"/>
      <c r="G38" s="100"/>
      <c r="H38" s="100"/>
      <c r="I38" s="100"/>
      <c r="J38" s="101"/>
      <c r="K38" s="95"/>
      <c r="L38" s="99"/>
      <c r="M38" s="100" t="s">
        <v>524</v>
      </c>
      <c r="N38" s="100"/>
      <c r="O38" s="100"/>
      <c r="P38" s="100"/>
      <c r="Q38" s="100"/>
      <c r="R38" s="100"/>
      <c r="S38" s="100"/>
      <c r="T38" s="100"/>
      <c r="U38" s="100"/>
      <c r="V38" s="101"/>
      <c r="W38" s="95"/>
      <c r="X38" s="95"/>
      <c r="Y38" s="95"/>
      <c r="Z38" s="95"/>
      <c r="AA38" s="95"/>
      <c r="AB38" s="95"/>
      <c r="AC38" s="95"/>
      <c r="AD38" s="95"/>
      <c r="AE38" s="95"/>
      <c r="AF38" s="95"/>
      <c r="AG38" s="95"/>
      <c r="AH38" s="95"/>
      <c r="AI38" s="95"/>
      <c r="AJ38" s="96"/>
    </row>
    <row r="39" spans="2:36" x14ac:dyDescent="0.25">
      <c r="B39" s="94"/>
      <c r="C39" s="99"/>
      <c r="D39" s="100"/>
      <c r="E39" s="100"/>
      <c r="F39" s="100"/>
      <c r="G39" s="100"/>
      <c r="H39" s="100"/>
      <c r="I39" s="100"/>
      <c r="J39" s="101"/>
      <c r="K39" s="95"/>
      <c r="L39" s="99"/>
      <c r="M39" s="621" t="s">
        <v>525</v>
      </c>
      <c r="N39" s="621"/>
      <c r="O39" s="621"/>
      <c r="P39" s="621"/>
      <c r="Q39" s="621"/>
      <c r="R39" s="621"/>
      <c r="S39" s="621"/>
      <c r="T39" s="621"/>
      <c r="U39" s="621"/>
      <c r="V39" s="623"/>
      <c r="W39" s="95"/>
      <c r="X39" s="95"/>
      <c r="Y39" s="95"/>
      <c r="Z39" s="95"/>
      <c r="AA39" s="95"/>
      <c r="AB39" s="95"/>
      <c r="AC39" s="95"/>
      <c r="AD39" s="95"/>
      <c r="AE39" s="95"/>
      <c r="AF39" s="95"/>
      <c r="AG39" s="95"/>
      <c r="AH39" s="95"/>
      <c r="AI39" s="95"/>
      <c r="AJ39" s="96"/>
    </row>
    <row r="40" spans="2:36" x14ac:dyDescent="0.25">
      <c r="B40" s="94"/>
      <c r="C40" s="99"/>
      <c r="D40" s="100"/>
      <c r="E40" s="100"/>
      <c r="F40" s="100"/>
      <c r="G40" s="100"/>
      <c r="H40" s="100"/>
      <c r="I40" s="100"/>
      <c r="J40" s="101"/>
      <c r="K40" s="95"/>
      <c r="L40" s="99"/>
      <c r="M40" s="621"/>
      <c r="N40" s="621"/>
      <c r="O40" s="621"/>
      <c r="P40" s="621"/>
      <c r="Q40" s="621"/>
      <c r="R40" s="621"/>
      <c r="S40" s="621"/>
      <c r="T40" s="621"/>
      <c r="U40" s="621"/>
      <c r="V40" s="623"/>
      <c r="W40" s="95"/>
      <c r="X40" s="95"/>
      <c r="Y40" s="95"/>
      <c r="Z40" s="95"/>
      <c r="AA40" s="95"/>
      <c r="AB40" s="95"/>
      <c r="AC40" s="95"/>
      <c r="AD40" s="95"/>
      <c r="AE40" s="95"/>
      <c r="AF40" s="95"/>
      <c r="AG40" s="95"/>
      <c r="AH40" s="95"/>
      <c r="AI40" s="95"/>
      <c r="AJ40" s="96"/>
    </row>
    <row r="41" spans="2:36" x14ac:dyDescent="0.25">
      <c r="B41" s="94"/>
      <c r="C41" s="99"/>
      <c r="D41" s="100"/>
      <c r="E41" s="100"/>
      <c r="F41" s="100"/>
      <c r="G41" s="100"/>
      <c r="H41" s="100"/>
      <c r="I41" s="100"/>
      <c r="J41" s="101"/>
      <c r="K41" s="95"/>
      <c r="L41" s="99"/>
      <c r="M41" s="100"/>
      <c r="N41" s="100"/>
      <c r="O41" s="100"/>
      <c r="P41" s="100"/>
      <c r="Q41" s="100"/>
      <c r="R41" s="100"/>
      <c r="S41" s="100"/>
      <c r="T41" s="100"/>
      <c r="U41" s="100"/>
      <c r="V41" s="101"/>
      <c r="W41" s="95"/>
      <c r="X41" s="95"/>
      <c r="Y41" s="95"/>
      <c r="Z41" s="95"/>
      <c r="AA41" s="95"/>
      <c r="AB41" s="95"/>
      <c r="AC41" s="95"/>
      <c r="AD41" s="95"/>
      <c r="AE41" s="95"/>
      <c r="AF41" s="95"/>
      <c r="AG41" s="95"/>
      <c r="AH41" s="95"/>
      <c r="AI41" s="95"/>
      <c r="AJ41" s="96"/>
    </row>
    <row r="42" spans="2:36" x14ac:dyDescent="0.25">
      <c r="B42" s="94"/>
      <c r="C42" s="99"/>
      <c r="D42" s="100"/>
      <c r="E42" s="100"/>
      <c r="F42" s="100"/>
      <c r="G42" s="100"/>
      <c r="H42" s="100"/>
      <c r="I42" s="100"/>
      <c r="J42" s="101"/>
      <c r="K42" s="95"/>
      <c r="L42" s="99"/>
      <c r="M42" s="100" t="s">
        <v>526</v>
      </c>
      <c r="N42" s="100"/>
      <c r="O42" s="100"/>
      <c r="P42" s="100"/>
      <c r="Q42" s="100"/>
      <c r="R42" s="100"/>
      <c r="S42" s="100"/>
      <c r="T42" s="100"/>
      <c r="U42" s="100"/>
      <c r="V42" s="101"/>
      <c r="W42" s="95"/>
      <c r="X42" s="95"/>
      <c r="Y42" s="95"/>
      <c r="Z42" s="95"/>
      <c r="AA42" s="95"/>
      <c r="AB42" s="95"/>
      <c r="AC42" s="95"/>
      <c r="AD42" s="95"/>
      <c r="AE42" s="95"/>
      <c r="AF42" s="95"/>
      <c r="AG42" s="95"/>
      <c r="AH42" s="95"/>
      <c r="AI42" s="95"/>
      <c r="AJ42" s="96"/>
    </row>
    <row r="43" spans="2:36" x14ac:dyDescent="0.25">
      <c r="B43" s="94"/>
      <c r="C43" s="99"/>
      <c r="D43" s="100"/>
      <c r="E43" s="100"/>
      <c r="F43" s="100"/>
      <c r="G43" s="100"/>
      <c r="H43" s="100"/>
      <c r="I43" s="100"/>
      <c r="J43" s="101"/>
      <c r="K43" s="95"/>
      <c r="L43" s="99"/>
      <c r="M43" s="621" t="s">
        <v>527</v>
      </c>
      <c r="N43" s="621"/>
      <c r="O43" s="621"/>
      <c r="P43" s="621"/>
      <c r="Q43" s="621"/>
      <c r="R43" s="621"/>
      <c r="S43" s="621"/>
      <c r="T43" s="621"/>
      <c r="U43" s="621"/>
      <c r="V43" s="623"/>
      <c r="W43" s="95"/>
      <c r="X43" s="95"/>
      <c r="Y43" s="95"/>
      <c r="Z43" s="95"/>
      <c r="AA43" s="95"/>
      <c r="AB43" s="95"/>
      <c r="AC43" s="95"/>
      <c r="AD43" s="95"/>
      <c r="AE43" s="95"/>
      <c r="AF43" s="95"/>
      <c r="AG43" s="95"/>
      <c r="AH43" s="95"/>
      <c r="AI43" s="95"/>
      <c r="AJ43" s="96"/>
    </row>
    <row r="44" spans="2:36" x14ac:dyDescent="0.25">
      <c r="B44" s="94"/>
      <c r="C44" s="99"/>
      <c r="D44" s="100"/>
      <c r="E44" s="100"/>
      <c r="F44" s="100"/>
      <c r="G44" s="100"/>
      <c r="H44" s="100"/>
      <c r="I44" s="100"/>
      <c r="J44" s="101"/>
      <c r="K44" s="95"/>
      <c r="L44" s="99"/>
      <c r="M44" s="621"/>
      <c r="N44" s="621"/>
      <c r="O44" s="621"/>
      <c r="P44" s="621"/>
      <c r="Q44" s="621"/>
      <c r="R44" s="621"/>
      <c r="S44" s="621"/>
      <c r="T44" s="621"/>
      <c r="U44" s="621"/>
      <c r="V44" s="623"/>
      <c r="W44" s="95"/>
      <c r="X44" s="95"/>
      <c r="Y44" s="95"/>
      <c r="Z44" s="95"/>
      <c r="AA44" s="95"/>
      <c r="AB44" s="95"/>
      <c r="AC44" s="95"/>
      <c r="AD44" s="95"/>
      <c r="AE44" s="95"/>
      <c r="AF44" s="95"/>
      <c r="AG44" s="95"/>
      <c r="AH44" s="95"/>
      <c r="AI44" s="95"/>
      <c r="AJ44" s="96"/>
    </row>
    <row r="45" spans="2:36" x14ac:dyDescent="0.25">
      <c r="B45" s="94"/>
      <c r="C45" s="99"/>
      <c r="D45" s="100"/>
      <c r="E45" s="100"/>
      <c r="F45" s="100"/>
      <c r="G45" s="100"/>
      <c r="H45" s="100"/>
      <c r="I45" s="100"/>
      <c r="J45" s="101"/>
      <c r="K45" s="95"/>
      <c r="L45" s="99"/>
      <c r="M45" s="100"/>
      <c r="N45" s="100"/>
      <c r="O45" s="100"/>
      <c r="P45" s="100"/>
      <c r="Q45" s="100"/>
      <c r="R45" s="100"/>
      <c r="S45" s="100"/>
      <c r="T45" s="100"/>
      <c r="U45" s="100"/>
      <c r="V45" s="101"/>
      <c r="W45" s="95"/>
      <c r="X45" s="95"/>
      <c r="Y45" s="95"/>
      <c r="Z45" s="95"/>
      <c r="AA45" s="95"/>
      <c r="AB45" s="95"/>
      <c r="AC45" s="95"/>
      <c r="AD45" s="95"/>
      <c r="AE45" s="95"/>
      <c r="AF45" s="95"/>
      <c r="AG45" s="95"/>
      <c r="AH45" s="95"/>
      <c r="AI45" s="95"/>
      <c r="AJ45" s="96"/>
    </row>
    <row r="46" spans="2:36" x14ac:dyDescent="0.25">
      <c r="B46" s="94"/>
      <c r="C46" s="99"/>
      <c r="D46" s="100"/>
      <c r="E46" s="100"/>
      <c r="F46" s="100"/>
      <c r="G46" s="100"/>
      <c r="H46" s="100"/>
      <c r="I46" s="100"/>
      <c r="J46" s="101"/>
      <c r="K46" s="95"/>
      <c r="L46" s="99"/>
      <c r="M46" s="543" t="s">
        <v>528</v>
      </c>
      <c r="N46" s="100"/>
      <c r="O46" s="100"/>
      <c r="P46" s="100"/>
      <c r="Q46" s="100"/>
      <c r="R46" s="100"/>
      <c r="S46" s="100"/>
      <c r="T46" s="100"/>
      <c r="U46" s="100"/>
      <c r="V46" s="101"/>
      <c r="W46" s="95"/>
      <c r="X46" s="95"/>
      <c r="Y46" s="95"/>
      <c r="Z46" s="95"/>
      <c r="AA46" s="95"/>
      <c r="AB46" s="95"/>
      <c r="AC46" s="95"/>
      <c r="AD46" s="95"/>
      <c r="AE46" s="95"/>
      <c r="AF46" s="95"/>
      <c r="AG46" s="95"/>
      <c r="AH46" s="95"/>
      <c r="AI46" s="95"/>
      <c r="AJ46" s="96"/>
    </row>
    <row r="47" spans="2:36" x14ac:dyDescent="0.25">
      <c r="B47" s="94"/>
      <c r="C47" s="99"/>
      <c r="D47" s="100"/>
      <c r="E47" s="100"/>
      <c r="F47" s="100"/>
      <c r="G47" s="100"/>
      <c r="H47" s="100"/>
      <c r="I47" s="100"/>
      <c r="J47" s="101"/>
      <c r="K47" s="95"/>
      <c r="L47" s="99"/>
      <c r="M47" s="621" t="s">
        <v>546</v>
      </c>
      <c r="N47" s="621"/>
      <c r="O47" s="621"/>
      <c r="P47" s="621"/>
      <c r="Q47" s="621"/>
      <c r="R47" s="621"/>
      <c r="S47" s="621"/>
      <c r="T47" s="621"/>
      <c r="U47" s="621"/>
      <c r="V47" s="623"/>
      <c r="W47" s="95"/>
      <c r="X47" s="95"/>
      <c r="Y47" s="95"/>
      <c r="Z47" s="95"/>
      <c r="AA47" s="95"/>
      <c r="AB47" s="95"/>
      <c r="AC47" s="95"/>
      <c r="AD47" s="95"/>
      <c r="AE47" s="95"/>
      <c r="AF47" s="95"/>
      <c r="AG47" s="95"/>
      <c r="AH47" s="95"/>
      <c r="AI47" s="95"/>
      <c r="AJ47" s="96"/>
    </row>
    <row r="48" spans="2:36" x14ac:dyDescent="0.25">
      <c r="B48" s="94"/>
      <c r="C48" s="99"/>
      <c r="D48" s="100"/>
      <c r="E48" s="100"/>
      <c r="F48" s="100"/>
      <c r="G48" s="100"/>
      <c r="H48" s="100"/>
      <c r="I48" s="100"/>
      <c r="J48" s="101"/>
      <c r="K48" s="95"/>
      <c r="L48" s="99"/>
      <c r="M48" s="621"/>
      <c r="N48" s="621"/>
      <c r="O48" s="621"/>
      <c r="P48" s="621"/>
      <c r="Q48" s="621"/>
      <c r="R48" s="621"/>
      <c r="S48" s="621"/>
      <c r="T48" s="621"/>
      <c r="U48" s="621"/>
      <c r="V48" s="623"/>
      <c r="W48" s="95"/>
      <c r="X48" s="95"/>
      <c r="Y48" s="95"/>
      <c r="Z48" s="95"/>
      <c r="AA48" s="95"/>
      <c r="AB48" s="95"/>
      <c r="AC48" s="95"/>
      <c r="AD48" s="95"/>
      <c r="AE48" s="95"/>
      <c r="AF48" s="95"/>
      <c r="AG48" s="95"/>
      <c r="AH48" s="95"/>
      <c r="AI48" s="95"/>
      <c r="AJ48" s="96"/>
    </row>
    <row r="49" spans="2:36" x14ac:dyDescent="0.25">
      <c r="B49" s="94"/>
      <c r="C49" s="99"/>
      <c r="D49" s="100"/>
      <c r="E49" s="100"/>
      <c r="F49" s="100"/>
      <c r="G49" s="100"/>
      <c r="H49" s="100"/>
      <c r="I49" s="100"/>
      <c r="J49" s="101"/>
      <c r="K49" s="95"/>
      <c r="L49" s="99"/>
      <c r="M49" s="100"/>
      <c r="N49" s="100"/>
      <c r="O49" s="100"/>
      <c r="P49" s="100"/>
      <c r="Q49" s="100"/>
      <c r="R49" s="100"/>
      <c r="S49" s="100"/>
      <c r="T49" s="100"/>
      <c r="U49" s="100"/>
      <c r="V49" s="101"/>
      <c r="W49" s="95"/>
      <c r="X49" s="95"/>
      <c r="Y49" s="95"/>
      <c r="Z49" s="95"/>
      <c r="AA49" s="95"/>
      <c r="AB49" s="95"/>
      <c r="AC49" s="95"/>
      <c r="AD49" s="95"/>
      <c r="AE49" s="95"/>
      <c r="AF49" s="95"/>
      <c r="AG49" s="95"/>
      <c r="AH49" s="95"/>
      <c r="AI49" s="95"/>
      <c r="AJ49" s="96"/>
    </row>
    <row r="50" spans="2:36" x14ac:dyDescent="0.25">
      <c r="B50" s="94"/>
      <c r="C50" s="99"/>
      <c r="D50" s="100"/>
      <c r="E50" s="100"/>
      <c r="F50" s="100"/>
      <c r="G50" s="100"/>
      <c r="H50" s="100"/>
      <c r="I50" s="100"/>
      <c r="J50" s="101"/>
      <c r="K50" s="95"/>
      <c r="L50" s="99"/>
      <c r="M50" s="543" t="s">
        <v>529</v>
      </c>
      <c r="N50" s="100"/>
      <c r="O50" s="100"/>
      <c r="P50" s="100"/>
      <c r="Q50" s="100"/>
      <c r="R50" s="100"/>
      <c r="S50" s="100"/>
      <c r="T50" s="100"/>
      <c r="U50" s="100"/>
      <c r="V50" s="101"/>
      <c r="W50" s="95"/>
      <c r="X50" s="95"/>
      <c r="Y50" s="95"/>
      <c r="Z50" s="95"/>
      <c r="AA50" s="95"/>
      <c r="AB50" s="95"/>
      <c r="AC50" s="95"/>
      <c r="AD50" s="95"/>
      <c r="AE50" s="95"/>
      <c r="AF50" s="95"/>
      <c r="AG50" s="95"/>
      <c r="AH50" s="95"/>
      <c r="AI50" s="95"/>
      <c r="AJ50" s="96"/>
    </row>
    <row r="51" spans="2:36" x14ac:dyDescent="0.25">
      <c r="B51" s="94"/>
      <c r="C51" s="99"/>
      <c r="D51" s="100"/>
      <c r="E51" s="100"/>
      <c r="F51" s="100"/>
      <c r="G51" s="100"/>
      <c r="H51" s="100"/>
      <c r="I51" s="100"/>
      <c r="J51" s="101"/>
      <c r="K51" s="95"/>
      <c r="L51" s="99"/>
      <c r="M51" s="100" t="s">
        <v>530</v>
      </c>
      <c r="N51" s="100"/>
      <c r="O51" s="100"/>
      <c r="P51" s="100"/>
      <c r="Q51" s="100"/>
      <c r="R51" s="100"/>
      <c r="S51" s="100"/>
      <c r="T51" s="100"/>
      <c r="U51" s="100"/>
      <c r="V51" s="101"/>
      <c r="W51" s="95"/>
      <c r="X51" s="95"/>
      <c r="Y51" s="95"/>
      <c r="Z51" s="95"/>
      <c r="AA51" s="95"/>
      <c r="AB51" s="95"/>
      <c r="AC51" s="95"/>
      <c r="AD51" s="95"/>
      <c r="AE51" s="95"/>
      <c r="AF51" s="95"/>
      <c r="AG51" s="95"/>
      <c r="AH51" s="95"/>
      <c r="AI51" s="95"/>
      <c r="AJ51" s="96"/>
    </row>
    <row r="52" spans="2:36" x14ac:dyDescent="0.25">
      <c r="B52" s="94"/>
      <c r="C52" s="99"/>
      <c r="D52" s="100" t="s">
        <v>484</v>
      </c>
      <c r="E52" s="100"/>
      <c r="F52" s="100"/>
      <c r="G52" s="100"/>
      <c r="H52" s="100"/>
      <c r="I52" s="100"/>
      <c r="J52" s="101"/>
      <c r="K52" s="95"/>
      <c r="L52" s="99"/>
      <c r="M52" s="100"/>
      <c r="N52" s="100"/>
      <c r="O52" s="100"/>
      <c r="P52" s="100"/>
      <c r="Q52" s="100"/>
      <c r="R52" s="100"/>
      <c r="S52" s="100"/>
      <c r="T52" s="100"/>
      <c r="U52" s="100"/>
      <c r="V52" s="101"/>
      <c r="W52" s="95"/>
      <c r="X52" s="95"/>
      <c r="Y52" s="95"/>
      <c r="Z52" s="95"/>
      <c r="AA52" s="95"/>
      <c r="AB52" s="95"/>
      <c r="AC52" s="95"/>
      <c r="AD52" s="95"/>
      <c r="AE52" s="95"/>
      <c r="AF52" s="95"/>
      <c r="AG52" s="95"/>
      <c r="AH52" s="95"/>
      <c r="AI52" s="95"/>
      <c r="AJ52" s="96"/>
    </row>
    <row r="53" spans="2:36" ht="21.75" customHeight="1" x14ac:dyDescent="0.25">
      <c r="B53" s="94"/>
      <c r="C53" s="99"/>
      <c r="D53" s="100"/>
      <c r="E53" s="100"/>
      <c r="F53" s="100"/>
      <c r="G53" s="100"/>
      <c r="H53" s="100"/>
      <c r="I53" s="100"/>
      <c r="J53" s="101"/>
      <c r="K53" s="95"/>
      <c r="L53" s="99"/>
      <c r="M53" s="621" t="s">
        <v>547</v>
      </c>
      <c r="N53" s="621"/>
      <c r="O53" s="621"/>
      <c r="P53" s="621"/>
      <c r="Q53" s="621"/>
      <c r="R53" s="621"/>
      <c r="S53" s="621"/>
      <c r="T53" s="621"/>
      <c r="U53" s="621"/>
      <c r="V53" s="623"/>
      <c r="W53" s="95"/>
      <c r="X53" s="95"/>
      <c r="Y53" s="95"/>
      <c r="Z53" s="95"/>
      <c r="AA53" s="95"/>
      <c r="AB53" s="95"/>
      <c r="AC53" s="95"/>
      <c r="AD53" s="95"/>
      <c r="AE53" s="95"/>
      <c r="AF53" s="95"/>
      <c r="AG53" s="95"/>
      <c r="AH53" s="95"/>
      <c r="AI53" s="95"/>
      <c r="AJ53" s="96"/>
    </row>
    <row r="54" spans="2:36" ht="28.5" customHeight="1" x14ac:dyDescent="0.25">
      <c r="B54" s="94"/>
      <c r="C54" s="99"/>
      <c r="D54" s="544" t="s">
        <v>485</v>
      </c>
      <c r="E54" s="100"/>
      <c r="F54" s="100"/>
      <c r="G54" s="100"/>
      <c r="H54" s="100"/>
      <c r="I54" s="100"/>
      <c r="J54" s="101"/>
      <c r="K54" s="95"/>
      <c r="L54" s="99"/>
      <c r="M54" s="621"/>
      <c r="N54" s="621"/>
      <c r="O54" s="621"/>
      <c r="P54" s="621"/>
      <c r="Q54" s="621"/>
      <c r="R54" s="621"/>
      <c r="S54" s="621"/>
      <c r="T54" s="621"/>
      <c r="U54" s="621"/>
      <c r="V54" s="623"/>
      <c r="W54" s="95"/>
      <c r="X54" s="95"/>
      <c r="Y54" s="95"/>
      <c r="Z54" s="95"/>
      <c r="AA54" s="95"/>
      <c r="AB54" s="95"/>
      <c r="AC54" s="95"/>
      <c r="AD54" s="95"/>
      <c r="AE54" s="95"/>
      <c r="AF54" s="95"/>
      <c r="AG54" s="95"/>
      <c r="AH54" s="95"/>
      <c r="AI54" s="95"/>
      <c r="AJ54" s="96"/>
    </row>
    <row r="55" spans="2:36" ht="27" customHeight="1" x14ac:dyDescent="0.25">
      <c r="B55" s="94"/>
      <c r="C55" s="99"/>
      <c r="D55" s="548" t="s">
        <v>486</v>
      </c>
      <c r="E55" s="546" t="s">
        <v>487</v>
      </c>
      <c r="F55" s="615" t="s">
        <v>488</v>
      </c>
      <c r="G55" s="615"/>
      <c r="H55" s="615"/>
      <c r="I55" s="616"/>
      <c r="J55" s="101"/>
      <c r="K55" s="95"/>
      <c r="L55" s="99"/>
      <c r="M55" s="621"/>
      <c r="N55" s="621"/>
      <c r="O55" s="621"/>
      <c r="P55" s="621"/>
      <c r="Q55" s="621"/>
      <c r="R55" s="621"/>
      <c r="S55" s="621"/>
      <c r="T55" s="621"/>
      <c r="U55" s="621"/>
      <c r="V55" s="623"/>
      <c r="W55" s="95"/>
      <c r="X55" s="95"/>
      <c r="Y55" s="95"/>
      <c r="Z55" s="95"/>
      <c r="AA55" s="95"/>
      <c r="AB55" s="95"/>
      <c r="AC55" s="95"/>
      <c r="AD55" s="95"/>
      <c r="AE55" s="95"/>
      <c r="AF55" s="95"/>
      <c r="AG55" s="95"/>
      <c r="AH55" s="95"/>
      <c r="AI55" s="95"/>
      <c r="AJ55" s="96"/>
    </row>
    <row r="56" spans="2:36" ht="27" customHeight="1" x14ac:dyDescent="0.25">
      <c r="B56" s="94"/>
      <c r="C56" s="99"/>
      <c r="D56" s="549" t="s">
        <v>66</v>
      </c>
      <c r="E56" s="545" t="s">
        <v>59</v>
      </c>
      <c r="F56" s="617" t="s">
        <v>489</v>
      </c>
      <c r="G56" s="617"/>
      <c r="H56" s="617"/>
      <c r="I56" s="618"/>
      <c r="J56" s="101"/>
      <c r="K56" s="95"/>
      <c r="L56" s="99"/>
      <c r="M56" s="100"/>
      <c r="N56" s="100"/>
      <c r="O56" s="100"/>
      <c r="P56" s="100"/>
      <c r="Q56" s="100"/>
      <c r="R56" s="100"/>
      <c r="S56" s="100"/>
      <c r="T56" s="100"/>
      <c r="U56" s="100"/>
      <c r="V56" s="101"/>
      <c r="W56" s="95"/>
      <c r="X56" s="95"/>
      <c r="Y56" s="95"/>
      <c r="Z56" s="95"/>
      <c r="AA56" s="95"/>
      <c r="AB56" s="95"/>
      <c r="AC56" s="95"/>
      <c r="AD56" s="95"/>
      <c r="AE56" s="95"/>
      <c r="AF56" s="95"/>
      <c r="AG56" s="95"/>
      <c r="AH56" s="95"/>
      <c r="AI56" s="95"/>
      <c r="AJ56" s="96"/>
    </row>
    <row r="57" spans="2:36" ht="30.75" customHeight="1" x14ac:dyDescent="0.25">
      <c r="B57" s="94"/>
      <c r="C57" s="99"/>
      <c r="D57" s="549" t="s">
        <v>67</v>
      </c>
      <c r="E57" s="545" t="s">
        <v>490</v>
      </c>
      <c r="F57" s="617" t="s">
        <v>491</v>
      </c>
      <c r="G57" s="617"/>
      <c r="H57" s="617"/>
      <c r="I57" s="618"/>
      <c r="J57" s="101"/>
      <c r="K57" s="95"/>
      <c r="L57" s="99"/>
      <c r="M57" s="624" t="s">
        <v>531</v>
      </c>
      <c r="N57" s="624"/>
      <c r="O57" s="624"/>
      <c r="P57" s="624"/>
      <c r="Q57" s="624"/>
      <c r="R57" s="624"/>
      <c r="S57" s="624"/>
      <c r="T57" s="624"/>
      <c r="U57" s="624"/>
      <c r="V57" s="625"/>
      <c r="W57" s="95"/>
      <c r="X57" s="95"/>
      <c r="Y57" s="95"/>
      <c r="Z57" s="95"/>
      <c r="AA57" s="95"/>
      <c r="AB57" s="95"/>
      <c r="AC57" s="95"/>
      <c r="AD57" s="95"/>
      <c r="AE57" s="95"/>
      <c r="AF57" s="95"/>
      <c r="AG57" s="95"/>
      <c r="AH57" s="95"/>
      <c r="AI57" s="95"/>
      <c r="AJ57" s="96"/>
    </row>
    <row r="58" spans="2:36" ht="40.5" customHeight="1" x14ac:dyDescent="0.25">
      <c r="B58" s="94"/>
      <c r="C58" s="99"/>
      <c r="D58" s="549" t="s">
        <v>65</v>
      </c>
      <c r="E58" s="545" t="s">
        <v>492</v>
      </c>
      <c r="F58" s="617" t="s">
        <v>493</v>
      </c>
      <c r="G58" s="617"/>
      <c r="H58" s="617"/>
      <c r="I58" s="618"/>
      <c r="J58" s="101"/>
      <c r="K58" s="95"/>
      <c r="L58" s="99"/>
      <c r="M58" s="555"/>
      <c r="N58" s="555"/>
      <c r="O58" s="555"/>
      <c r="P58" s="555"/>
      <c r="Q58" s="555"/>
      <c r="R58" s="555"/>
      <c r="S58" s="555"/>
      <c r="T58" s="555"/>
      <c r="U58" s="555"/>
      <c r="V58" s="556"/>
      <c r="W58" s="95"/>
      <c r="X58" s="95"/>
      <c r="Y58" s="95"/>
      <c r="Z58" s="95"/>
      <c r="AA58" s="95"/>
      <c r="AB58" s="95"/>
      <c r="AC58" s="95"/>
      <c r="AD58" s="95"/>
      <c r="AE58" s="95"/>
      <c r="AF58" s="95"/>
      <c r="AG58" s="95"/>
      <c r="AH58" s="95"/>
      <c r="AI58" s="95"/>
      <c r="AJ58" s="96"/>
    </row>
    <row r="59" spans="2:36" ht="25.5" customHeight="1" x14ac:dyDescent="0.25">
      <c r="B59" s="94"/>
      <c r="C59" s="99"/>
      <c r="D59" s="549" t="s">
        <v>94</v>
      </c>
      <c r="E59" s="545" t="s">
        <v>494</v>
      </c>
      <c r="F59" s="617" t="s">
        <v>495</v>
      </c>
      <c r="G59" s="617"/>
      <c r="H59" s="617"/>
      <c r="I59" s="618"/>
      <c r="J59" s="101"/>
      <c r="K59" s="95"/>
      <c r="L59" s="99"/>
      <c r="M59" s="543" t="s">
        <v>532</v>
      </c>
      <c r="N59" s="100"/>
      <c r="O59" s="100"/>
      <c r="P59" s="100"/>
      <c r="Q59" s="100"/>
      <c r="R59" s="100"/>
      <c r="S59" s="100"/>
      <c r="T59" s="100"/>
      <c r="U59" s="100"/>
      <c r="V59" s="101"/>
      <c r="W59" s="95"/>
      <c r="X59" s="95"/>
      <c r="Y59" s="95"/>
      <c r="Z59" s="95"/>
      <c r="AA59" s="95"/>
      <c r="AB59" s="95"/>
      <c r="AC59" s="95"/>
      <c r="AD59" s="95"/>
      <c r="AE59" s="95"/>
      <c r="AF59" s="95"/>
      <c r="AG59" s="95"/>
      <c r="AH59" s="95"/>
      <c r="AI59" s="95"/>
      <c r="AJ59" s="96"/>
    </row>
    <row r="60" spans="2:36" ht="27" customHeight="1" x14ac:dyDescent="0.25">
      <c r="B60" s="94"/>
      <c r="C60" s="99"/>
      <c r="D60" s="549" t="s">
        <v>437</v>
      </c>
      <c r="E60" s="545" t="s">
        <v>496</v>
      </c>
      <c r="F60" s="617" t="s">
        <v>497</v>
      </c>
      <c r="G60" s="617"/>
      <c r="H60" s="617"/>
      <c r="I60" s="618"/>
      <c r="J60" s="101"/>
      <c r="K60" s="95"/>
      <c r="L60" s="99"/>
      <c r="M60" s="100" t="s">
        <v>533</v>
      </c>
      <c r="N60" s="100"/>
      <c r="O60" s="100"/>
      <c r="P60" s="100"/>
      <c r="Q60" s="100"/>
      <c r="R60" s="100"/>
      <c r="S60" s="100"/>
      <c r="T60" s="100"/>
      <c r="U60" s="100"/>
      <c r="V60" s="101"/>
      <c r="W60" s="95"/>
      <c r="X60" s="95"/>
      <c r="Y60" s="95"/>
      <c r="Z60" s="95"/>
      <c r="AA60" s="95"/>
      <c r="AB60" s="95"/>
      <c r="AC60" s="95"/>
      <c r="AD60" s="95"/>
      <c r="AE60" s="95"/>
      <c r="AF60" s="95"/>
      <c r="AG60" s="95"/>
      <c r="AH60" s="95"/>
      <c r="AI60" s="95"/>
      <c r="AJ60" s="96"/>
    </row>
    <row r="61" spans="2:36" ht="39" customHeight="1" x14ac:dyDescent="0.25">
      <c r="B61" s="94"/>
      <c r="C61" s="99"/>
      <c r="D61" s="549" t="s">
        <v>106</v>
      </c>
      <c r="E61" s="550" t="s">
        <v>498</v>
      </c>
      <c r="F61" s="617" t="s">
        <v>499</v>
      </c>
      <c r="G61" s="617"/>
      <c r="H61" s="617"/>
      <c r="I61" s="618"/>
      <c r="J61" s="101"/>
      <c r="K61" s="95"/>
      <c r="L61" s="99"/>
      <c r="M61" s="100"/>
      <c r="N61" s="100"/>
      <c r="O61" s="100"/>
      <c r="P61" s="100"/>
      <c r="Q61" s="100"/>
      <c r="R61" s="100"/>
      <c r="S61" s="100"/>
      <c r="T61" s="100"/>
      <c r="U61" s="100"/>
      <c r="V61" s="101"/>
      <c r="W61" s="95"/>
      <c r="X61" s="95"/>
      <c r="Y61" s="95"/>
      <c r="Z61" s="95"/>
      <c r="AA61" s="95"/>
      <c r="AB61" s="95"/>
      <c r="AC61" s="95"/>
      <c r="AD61" s="95"/>
      <c r="AE61" s="95"/>
      <c r="AF61" s="95"/>
      <c r="AG61" s="95"/>
      <c r="AH61" s="95"/>
      <c r="AI61" s="95"/>
      <c r="AJ61" s="96"/>
    </row>
    <row r="62" spans="2:36" x14ac:dyDescent="0.25">
      <c r="B62" s="94"/>
      <c r="C62" s="99"/>
      <c r="D62" s="549" t="s">
        <v>113</v>
      </c>
      <c r="E62" s="545" t="s">
        <v>500</v>
      </c>
      <c r="F62" s="619" t="s">
        <v>501</v>
      </c>
      <c r="G62" s="619"/>
      <c r="H62" s="619"/>
      <c r="I62" s="620"/>
      <c r="J62" s="101"/>
      <c r="K62" s="95"/>
      <c r="L62" s="99"/>
      <c r="M62" s="543" t="s">
        <v>534</v>
      </c>
      <c r="N62" s="100"/>
      <c r="O62" s="100"/>
      <c r="P62" s="100"/>
      <c r="Q62" s="100"/>
      <c r="R62" s="100"/>
      <c r="S62" s="100"/>
      <c r="T62" s="100"/>
      <c r="U62" s="100"/>
      <c r="V62" s="101"/>
      <c r="W62" s="95"/>
      <c r="X62" s="95"/>
      <c r="Y62" s="95"/>
      <c r="Z62" s="95"/>
      <c r="AA62" s="95"/>
      <c r="AB62" s="95"/>
      <c r="AC62" s="95"/>
      <c r="AD62" s="95"/>
      <c r="AE62" s="95"/>
      <c r="AF62" s="95"/>
      <c r="AG62" s="95"/>
      <c r="AH62" s="95"/>
      <c r="AI62" s="95"/>
      <c r="AJ62" s="96"/>
    </row>
    <row r="63" spans="2:36" ht="15" customHeight="1" x14ac:dyDescent="0.25">
      <c r="B63" s="94"/>
      <c r="C63" s="99"/>
      <c r="D63" s="549" t="s">
        <v>69</v>
      </c>
      <c r="E63" s="545" t="s">
        <v>502</v>
      </c>
      <c r="F63" s="545"/>
      <c r="G63" s="100"/>
      <c r="H63" s="100"/>
      <c r="I63" s="101"/>
      <c r="J63" s="101"/>
      <c r="K63" s="95"/>
      <c r="L63" s="99"/>
      <c r="M63" s="621" t="s">
        <v>548</v>
      </c>
      <c r="N63" s="621"/>
      <c r="O63" s="621"/>
      <c r="P63" s="621"/>
      <c r="Q63" s="621"/>
      <c r="R63" s="621"/>
      <c r="S63" s="621"/>
      <c r="T63" s="621"/>
      <c r="U63" s="621"/>
      <c r="V63" s="623"/>
      <c r="W63" s="95"/>
      <c r="X63" s="95"/>
      <c r="Y63" s="95"/>
      <c r="Z63" s="95"/>
      <c r="AA63" s="95"/>
      <c r="AB63" s="95"/>
      <c r="AC63" s="95"/>
      <c r="AD63" s="95"/>
      <c r="AE63" s="95"/>
      <c r="AF63" s="95"/>
      <c r="AG63" s="95"/>
      <c r="AH63" s="95"/>
      <c r="AI63" s="95"/>
      <c r="AJ63" s="96"/>
    </row>
    <row r="64" spans="2:36" x14ac:dyDescent="0.25">
      <c r="B64" s="94"/>
      <c r="C64" s="99"/>
      <c r="D64" s="549" t="s">
        <v>78</v>
      </c>
      <c r="E64" s="545" t="s">
        <v>503</v>
      </c>
      <c r="F64" s="545"/>
      <c r="G64" s="100"/>
      <c r="H64" s="100"/>
      <c r="I64" s="101"/>
      <c r="J64" s="101"/>
      <c r="K64" s="95"/>
      <c r="L64" s="99"/>
      <c r="M64" s="621"/>
      <c r="N64" s="621"/>
      <c r="O64" s="621"/>
      <c r="P64" s="621"/>
      <c r="Q64" s="621"/>
      <c r="R64" s="621"/>
      <c r="S64" s="621"/>
      <c r="T64" s="621"/>
      <c r="U64" s="621"/>
      <c r="V64" s="623"/>
      <c r="W64" s="95"/>
      <c r="X64" s="95"/>
      <c r="Y64" s="95"/>
      <c r="Z64" s="95"/>
      <c r="AA64" s="95"/>
      <c r="AB64" s="95"/>
      <c r="AC64" s="95"/>
      <c r="AD64" s="95"/>
      <c r="AE64" s="95"/>
      <c r="AF64" s="95"/>
      <c r="AG64" s="95"/>
      <c r="AH64" s="95"/>
      <c r="AI64" s="95"/>
      <c r="AJ64" s="96"/>
    </row>
    <row r="65" spans="2:36" x14ac:dyDescent="0.25">
      <c r="B65" s="94"/>
      <c r="C65" s="99"/>
      <c r="D65" s="549" t="s">
        <v>77</v>
      </c>
      <c r="E65" s="545" t="s">
        <v>504</v>
      </c>
      <c r="F65" s="545"/>
      <c r="G65" s="100"/>
      <c r="H65" s="100"/>
      <c r="I65" s="101"/>
      <c r="J65" s="101"/>
      <c r="K65" s="95"/>
      <c r="L65" s="99"/>
      <c r="M65" s="621"/>
      <c r="N65" s="621"/>
      <c r="O65" s="621"/>
      <c r="P65" s="621"/>
      <c r="Q65" s="621"/>
      <c r="R65" s="621"/>
      <c r="S65" s="621"/>
      <c r="T65" s="621"/>
      <c r="U65" s="621"/>
      <c r="V65" s="623"/>
      <c r="W65" s="95"/>
      <c r="X65" s="95"/>
      <c r="Y65" s="95"/>
      <c r="Z65" s="95"/>
      <c r="AA65" s="95"/>
      <c r="AB65" s="95"/>
      <c r="AC65" s="95"/>
      <c r="AD65" s="95"/>
      <c r="AE65" s="95"/>
      <c r="AF65" s="95"/>
      <c r="AG65" s="95"/>
      <c r="AH65" s="95"/>
      <c r="AI65" s="95"/>
      <c r="AJ65" s="96"/>
    </row>
    <row r="66" spans="2:36" x14ac:dyDescent="0.25">
      <c r="B66" s="94"/>
      <c r="C66" s="99"/>
      <c r="D66" s="549" t="s">
        <v>75</v>
      </c>
      <c r="E66" s="545" t="s">
        <v>505</v>
      </c>
      <c r="F66" s="545"/>
      <c r="G66" s="100"/>
      <c r="H66" s="100"/>
      <c r="I66" s="101"/>
      <c r="J66" s="101"/>
      <c r="K66" s="95"/>
      <c r="L66" s="99"/>
      <c r="M66" s="100"/>
      <c r="N66" s="100"/>
      <c r="O66" s="100"/>
      <c r="P66" s="100"/>
      <c r="Q66" s="100"/>
      <c r="R66" s="100"/>
      <c r="S66" s="100"/>
      <c r="T66" s="100"/>
      <c r="U66" s="100"/>
      <c r="V66" s="101"/>
      <c r="W66" s="95"/>
      <c r="X66" s="95"/>
      <c r="Y66" s="95"/>
      <c r="Z66" s="95"/>
      <c r="AA66" s="95"/>
      <c r="AB66" s="95"/>
      <c r="AC66" s="95"/>
      <c r="AD66" s="95"/>
      <c r="AE66" s="95"/>
      <c r="AF66" s="95"/>
      <c r="AG66" s="95"/>
      <c r="AH66" s="95"/>
      <c r="AI66" s="95"/>
      <c r="AJ66" s="96"/>
    </row>
    <row r="67" spans="2:36" x14ac:dyDescent="0.25">
      <c r="B67" s="94"/>
      <c r="C67" s="99"/>
      <c r="D67" s="549" t="s">
        <v>96</v>
      </c>
      <c r="E67" s="545" t="s">
        <v>506</v>
      </c>
      <c r="F67" s="545"/>
      <c r="G67" s="100"/>
      <c r="H67" s="100"/>
      <c r="I67" s="101"/>
      <c r="J67" s="101"/>
      <c r="K67" s="95"/>
      <c r="L67" s="99"/>
      <c r="M67" s="624" t="s">
        <v>535</v>
      </c>
      <c r="N67" s="624"/>
      <c r="O67" s="624"/>
      <c r="P67" s="624"/>
      <c r="Q67" s="624"/>
      <c r="R67" s="624"/>
      <c r="S67" s="624"/>
      <c r="T67" s="624"/>
      <c r="U67" s="624"/>
      <c r="V67" s="625"/>
      <c r="W67" s="95"/>
      <c r="X67" s="95"/>
      <c r="Y67" s="95"/>
      <c r="Z67" s="95"/>
      <c r="AA67" s="95"/>
      <c r="AB67" s="95"/>
      <c r="AC67" s="95"/>
      <c r="AD67" s="95"/>
      <c r="AE67" s="95"/>
      <c r="AF67" s="95"/>
      <c r="AG67" s="95"/>
      <c r="AH67" s="95"/>
      <c r="AI67" s="95"/>
      <c r="AJ67" s="96"/>
    </row>
    <row r="68" spans="2:36" x14ac:dyDescent="0.25">
      <c r="B68" s="94"/>
      <c r="C68" s="99"/>
      <c r="D68" s="102"/>
      <c r="E68" s="103"/>
      <c r="F68" s="103"/>
      <c r="G68" s="103"/>
      <c r="H68" s="103"/>
      <c r="I68" s="104"/>
      <c r="J68" s="101"/>
      <c r="K68" s="95"/>
      <c r="L68" s="99"/>
      <c r="M68" s="624"/>
      <c r="N68" s="624"/>
      <c r="O68" s="624"/>
      <c r="P68" s="624"/>
      <c r="Q68" s="624"/>
      <c r="R68" s="624"/>
      <c r="S68" s="624"/>
      <c r="T68" s="624"/>
      <c r="U68" s="624"/>
      <c r="V68" s="625"/>
      <c r="W68" s="95"/>
      <c r="X68" s="95"/>
      <c r="Y68" s="95"/>
      <c r="Z68" s="95"/>
      <c r="AA68" s="95"/>
      <c r="AB68" s="95"/>
      <c r="AC68" s="95"/>
      <c r="AD68" s="95"/>
      <c r="AE68" s="95"/>
      <c r="AF68" s="95"/>
      <c r="AG68" s="95"/>
      <c r="AH68" s="95"/>
      <c r="AI68" s="95"/>
      <c r="AJ68" s="96"/>
    </row>
    <row r="69" spans="2:36" x14ac:dyDescent="0.25">
      <c r="B69" s="94"/>
      <c r="C69" s="99"/>
      <c r="D69" s="100"/>
      <c r="E69" s="100"/>
      <c r="F69" s="100"/>
      <c r="G69" s="100"/>
      <c r="H69" s="100"/>
      <c r="I69" s="100"/>
      <c r="J69" s="101"/>
      <c r="K69" s="95"/>
      <c r="L69" s="99"/>
      <c r="M69" s="624"/>
      <c r="N69" s="624"/>
      <c r="O69" s="624"/>
      <c r="P69" s="624"/>
      <c r="Q69" s="624"/>
      <c r="R69" s="624"/>
      <c r="S69" s="624"/>
      <c r="T69" s="624"/>
      <c r="U69" s="624"/>
      <c r="V69" s="625"/>
      <c r="W69" s="95"/>
      <c r="X69" s="95"/>
      <c r="Y69" s="95"/>
      <c r="Z69" s="95"/>
      <c r="AA69" s="95"/>
      <c r="AB69" s="95"/>
      <c r="AC69" s="95"/>
      <c r="AD69" s="95"/>
      <c r="AE69" s="95"/>
      <c r="AF69" s="95"/>
      <c r="AG69" s="95"/>
      <c r="AH69" s="95"/>
      <c r="AI69" s="95"/>
      <c r="AJ69" s="96"/>
    </row>
    <row r="70" spans="2:36" ht="36.75" customHeight="1" x14ac:dyDescent="0.25">
      <c r="B70" s="94"/>
      <c r="C70" s="99"/>
      <c r="D70" s="621" t="s">
        <v>544</v>
      </c>
      <c r="E70" s="621"/>
      <c r="F70" s="621"/>
      <c r="G70" s="621"/>
      <c r="H70" s="621"/>
      <c r="I70" s="621"/>
      <c r="J70" s="101"/>
      <c r="K70" s="95"/>
      <c r="L70" s="99"/>
      <c r="M70" s="624"/>
      <c r="N70" s="624"/>
      <c r="O70" s="624"/>
      <c r="P70" s="624"/>
      <c r="Q70" s="624"/>
      <c r="R70" s="624"/>
      <c r="S70" s="624"/>
      <c r="T70" s="624"/>
      <c r="U70" s="624"/>
      <c r="V70" s="625"/>
      <c r="W70" s="95"/>
      <c r="X70" s="95"/>
      <c r="Y70" s="95"/>
      <c r="Z70" s="95"/>
      <c r="AA70" s="95"/>
      <c r="AB70" s="95"/>
      <c r="AC70" s="95"/>
      <c r="AD70" s="95"/>
      <c r="AE70" s="95"/>
      <c r="AF70" s="95"/>
      <c r="AG70" s="95"/>
      <c r="AH70" s="95"/>
      <c r="AI70" s="95"/>
      <c r="AJ70" s="96"/>
    </row>
    <row r="71" spans="2:36" ht="30.75" customHeight="1" x14ac:dyDescent="0.25">
      <c r="B71" s="94"/>
      <c r="C71" s="99"/>
      <c r="D71" s="621" t="s">
        <v>507</v>
      </c>
      <c r="E71" s="621"/>
      <c r="F71" s="621"/>
      <c r="G71" s="621"/>
      <c r="H71" s="621"/>
      <c r="I71" s="621"/>
      <c r="J71" s="101"/>
      <c r="K71" s="95"/>
      <c r="L71" s="99"/>
      <c r="M71" s="624" t="s">
        <v>536</v>
      </c>
      <c r="N71" s="624"/>
      <c r="O71" s="624"/>
      <c r="P71" s="624"/>
      <c r="Q71" s="624"/>
      <c r="R71" s="624"/>
      <c r="S71" s="624"/>
      <c r="T71" s="624"/>
      <c r="U71" s="624"/>
      <c r="V71" s="625"/>
      <c r="W71" s="95"/>
      <c r="X71" s="95"/>
      <c r="Y71" s="95"/>
      <c r="Z71" s="95"/>
      <c r="AA71" s="95"/>
      <c r="AB71" s="95"/>
      <c r="AC71" s="95"/>
      <c r="AD71" s="95"/>
      <c r="AE71" s="95"/>
      <c r="AF71" s="95"/>
      <c r="AG71" s="95"/>
      <c r="AH71" s="95"/>
      <c r="AI71" s="95"/>
      <c r="AJ71" s="96"/>
    </row>
    <row r="72" spans="2:36" ht="15" customHeight="1" x14ac:dyDescent="0.25">
      <c r="B72" s="94"/>
      <c r="C72" s="99"/>
      <c r="D72" s="551"/>
      <c r="E72" s="551"/>
      <c r="F72" s="551"/>
      <c r="G72" s="551"/>
      <c r="H72" s="551"/>
      <c r="I72" s="551"/>
      <c r="J72" s="101"/>
      <c r="K72" s="95"/>
      <c r="L72" s="99"/>
      <c r="M72" s="624"/>
      <c r="N72" s="624"/>
      <c r="O72" s="624"/>
      <c r="P72" s="624"/>
      <c r="Q72" s="624"/>
      <c r="R72" s="624"/>
      <c r="S72" s="624"/>
      <c r="T72" s="624"/>
      <c r="U72" s="624"/>
      <c r="V72" s="625"/>
      <c r="W72" s="95"/>
      <c r="X72" s="95"/>
      <c r="Y72" s="95"/>
      <c r="Z72" s="95"/>
      <c r="AA72" s="95"/>
      <c r="AB72" s="95"/>
      <c r="AC72" s="95"/>
      <c r="AD72" s="95"/>
      <c r="AE72" s="95"/>
      <c r="AF72" s="95"/>
      <c r="AG72" s="95"/>
      <c r="AH72" s="95"/>
      <c r="AI72" s="95"/>
      <c r="AJ72" s="96"/>
    </row>
    <row r="73" spans="2:36" ht="15" customHeight="1" x14ac:dyDescent="0.25">
      <c r="B73" s="94"/>
      <c r="C73" s="99"/>
      <c r="D73" s="622" t="s">
        <v>99</v>
      </c>
      <c r="E73" s="622"/>
      <c r="F73" s="622"/>
      <c r="G73" s="622"/>
      <c r="H73" s="622"/>
      <c r="I73" s="622"/>
      <c r="J73" s="101"/>
      <c r="K73" s="95"/>
      <c r="L73" s="99"/>
      <c r="M73" s="624"/>
      <c r="N73" s="624"/>
      <c r="O73" s="624"/>
      <c r="P73" s="624"/>
      <c r="Q73" s="624"/>
      <c r="R73" s="624"/>
      <c r="S73" s="624"/>
      <c r="T73" s="624"/>
      <c r="U73" s="624"/>
      <c r="V73" s="625"/>
      <c r="W73" s="95"/>
      <c r="X73" s="95"/>
      <c r="Y73" s="95"/>
      <c r="Z73" s="95"/>
      <c r="AA73" s="95"/>
      <c r="AB73" s="95"/>
      <c r="AC73" s="95"/>
      <c r="AD73" s="95"/>
      <c r="AE73" s="95"/>
      <c r="AF73" s="95"/>
      <c r="AG73" s="95"/>
      <c r="AH73" s="95"/>
      <c r="AI73" s="95"/>
      <c r="AJ73" s="96"/>
    </row>
    <row r="74" spans="2:36" x14ac:dyDescent="0.25">
      <c r="B74" s="94"/>
      <c r="C74" s="99"/>
      <c r="D74" s="614" t="s">
        <v>508</v>
      </c>
      <c r="E74" s="614"/>
      <c r="F74" s="614"/>
      <c r="G74" s="614"/>
      <c r="H74" s="614"/>
      <c r="I74" s="614"/>
      <c r="J74" s="101"/>
      <c r="K74" s="95"/>
      <c r="L74" s="99"/>
      <c r="M74" s="624"/>
      <c r="N74" s="624"/>
      <c r="O74" s="624"/>
      <c r="P74" s="624"/>
      <c r="Q74" s="624"/>
      <c r="R74" s="624"/>
      <c r="S74" s="624"/>
      <c r="T74" s="624"/>
      <c r="U74" s="624"/>
      <c r="V74" s="625"/>
      <c r="W74" s="95"/>
      <c r="X74" s="95"/>
      <c r="Y74" s="95"/>
      <c r="Z74" s="95"/>
      <c r="AA74" s="95"/>
      <c r="AB74" s="95"/>
      <c r="AC74" s="95"/>
      <c r="AD74" s="95"/>
      <c r="AE74" s="95"/>
      <c r="AF74" s="95"/>
      <c r="AG74" s="95"/>
      <c r="AH74" s="95"/>
      <c r="AI74" s="95"/>
      <c r="AJ74" s="96"/>
    </row>
    <row r="75" spans="2:36" x14ac:dyDescent="0.25">
      <c r="B75" s="94"/>
      <c r="C75" s="102"/>
      <c r="D75" s="103"/>
      <c r="E75" s="103"/>
      <c r="F75" s="103"/>
      <c r="G75" s="103"/>
      <c r="H75" s="103"/>
      <c r="I75" s="103"/>
      <c r="J75" s="104"/>
      <c r="K75" s="95"/>
      <c r="L75" s="102"/>
      <c r="M75" s="103"/>
      <c r="N75" s="103"/>
      <c r="O75" s="103"/>
      <c r="P75" s="103"/>
      <c r="Q75" s="103"/>
      <c r="R75" s="103"/>
      <c r="S75" s="103"/>
      <c r="T75" s="103"/>
      <c r="U75" s="103"/>
      <c r="V75" s="104"/>
      <c r="W75" s="95"/>
      <c r="X75" s="95"/>
      <c r="Y75" s="95"/>
      <c r="Z75" s="95"/>
      <c r="AA75" s="95"/>
      <c r="AB75" s="95"/>
      <c r="AC75" s="95"/>
      <c r="AD75" s="95"/>
      <c r="AE75" s="95"/>
      <c r="AF75" s="95"/>
      <c r="AG75" s="95"/>
      <c r="AH75" s="95"/>
      <c r="AI75" s="95"/>
      <c r="AJ75" s="96"/>
    </row>
    <row r="76" spans="2:36" ht="15.75" thickBot="1" x14ac:dyDescent="0.3">
      <c r="B76" s="105"/>
      <c r="C76" s="106"/>
      <c r="D76" s="106"/>
      <c r="E76" s="106"/>
      <c r="F76" s="106"/>
      <c r="G76" s="106"/>
      <c r="H76" s="106"/>
      <c r="I76" s="106"/>
      <c r="J76" s="106"/>
      <c r="K76" s="106"/>
      <c r="L76" s="106"/>
      <c r="M76" s="106"/>
      <c r="N76" s="106"/>
      <c r="O76" s="106"/>
      <c r="P76" s="106"/>
      <c r="Q76" s="106"/>
      <c r="R76" s="106"/>
      <c r="S76" s="106"/>
      <c r="T76" s="106"/>
      <c r="U76" s="106"/>
      <c r="V76" s="106"/>
      <c r="W76" s="106"/>
      <c r="X76" s="106"/>
      <c r="Y76" s="106"/>
      <c r="Z76" s="106"/>
      <c r="AA76" s="106"/>
      <c r="AB76" s="106"/>
      <c r="AC76" s="106"/>
      <c r="AD76" s="106"/>
      <c r="AE76" s="106"/>
      <c r="AF76" s="106"/>
      <c r="AG76" s="106"/>
      <c r="AH76" s="106"/>
      <c r="AI76" s="106"/>
      <c r="AJ76" s="107"/>
    </row>
  </sheetData>
  <mergeCells count="46">
    <mergeCell ref="M71:V74"/>
    <mergeCell ref="Y5:AI5"/>
    <mergeCell ref="Y6:AI9"/>
    <mergeCell ref="Y10:AI10"/>
    <mergeCell ref="Y11:AI12"/>
    <mergeCell ref="Y16:AI17"/>
    <mergeCell ref="Y18:AI19"/>
    <mergeCell ref="M47:V48"/>
    <mergeCell ref="M53:V55"/>
    <mergeCell ref="M57:V57"/>
    <mergeCell ref="M63:V65"/>
    <mergeCell ref="M25:V28"/>
    <mergeCell ref="M30:V34"/>
    <mergeCell ref="M39:V40"/>
    <mergeCell ref="Y13:AC13"/>
    <mergeCell ref="D10:I11"/>
    <mergeCell ref="M21:V22"/>
    <mergeCell ref="M24:V24"/>
    <mergeCell ref="L4:V4"/>
    <mergeCell ref="N11:T11"/>
    <mergeCell ref="N9:T9"/>
    <mergeCell ref="N6:T6"/>
    <mergeCell ref="M5:V5"/>
    <mergeCell ref="D5:I5"/>
    <mergeCell ref="D6:I6"/>
    <mergeCell ref="D14:I14"/>
    <mergeCell ref="M16:V16"/>
    <mergeCell ref="M17:V17"/>
    <mergeCell ref="D19:I21"/>
    <mergeCell ref="D16:I17"/>
    <mergeCell ref="AD13:AF13"/>
    <mergeCell ref="D74:I74"/>
    <mergeCell ref="F55:I55"/>
    <mergeCell ref="F56:I56"/>
    <mergeCell ref="F57:I57"/>
    <mergeCell ref="F58:I58"/>
    <mergeCell ref="F59:I59"/>
    <mergeCell ref="F60:I60"/>
    <mergeCell ref="F61:I61"/>
    <mergeCell ref="F62:I62"/>
    <mergeCell ref="D70:I70"/>
    <mergeCell ref="D71:I71"/>
    <mergeCell ref="D73:I73"/>
    <mergeCell ref="M43:V44"/>
    <mergeCell ref="Y21:AI22"/>
    <mergeCell ref="M67:V70"/>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01983-E593-42B1-84D9-C694FB2B986F}">
  <sheetPr codeName="Sheet5">
    <tabColor rgb="FFFF0000"/>
    <pageSetUpPr fitToPage="1"/>
  </sheetPr>
  <dimension ref="A1:AZ81"/>
  <sheetViews>
    <sheetView tabSelected="1" zoomScale="110" zoomScaleNormal="110" workbookViewId="0">
      <selection activeCell="H18" sqref="H18"/>
    </sheetView>
  </sheetViews>
  <sheetFormatPr baseColWidth="10" defaultColWidth="9.140625" defaultRowHeight="18" customHeight="1" x14ac:dyDescent="0.25"/>
  <cols>
    <col min="1" max="1" width="3.7109375" style="1" customWidth="1"/>
    <col min="2" max="2" width="2.5703125" style="1" customWidth="1"/>
    <col min="3" max="3" width="3.7109375" style="1" customWidth="1"/>
    <col min="4" max="4" width="31.7109375" style="1" customWidth="1"/>
    <col min="5" max="5" width="19" style="1" customWidth="1"/>
    <col min="6" max="6" width="15.140625" style="1" customWidth="1"/>
    <col min="7" max="7" width="8.5703125" style="1" customWidth="1"/>
    <col min="8" max="8" width="27.28515625" style="1" customWidth="1"/>
    <col min="9" max="9" width="9.140625" style="1" customWidth="1"/>
    <col min="10" max="10" width="17.28515625" style="1" customWidth="1"/>
    <col min="11" max="11" width="9" style="1" customWidth="1"/>
    <col min="12" max="12" width="3" style="1" customWidth="1"/>
    <col min="13" max="14" width="2.7109375" style="1" customWidth="1"/>
    <col min="15" max="15" width="18.85546875" style="1" customWidth="1"/>
    <col min="16" max="16" width="9.140625" style="1" customWidth="1"/>
    <col min="17" max="17" width="10.140625" style="1" customWidth="1"/>
    <col min="18" max="18" width="8.28515625" style="1" customWidth="1"/>
    <col min="19" max="19" width="15.7109375" style="1" customWidth="1"/>
    <col min="20" max="20" width="13.85546875" style="1" customWidth="1"/>
    <col min="21" max="23" width="2.7109375" style="1" customWidth="1"/>
    <col min="24" max="24" width="11.42578125" style="1" customWidth="1"/>
    <col min="25" max="25" width="23.140625" style="1" customWidth="1"/>
    <col min="26" max="26" width="11.140625" style="1" customWidth="1"/>
    <col min="27" max="27" width="18.7109375" style="1" customWidth="1"/>
    <col min="28" max="28" width="20.28515625" style="1" customWidth="1"/>
    <col min="29" max="30" width="2.7109375" style="1" customWidth="1"/>
    <col min="31" max="31" width="21.140625" style="1" customWidth="1"/>
    <col min="32" max="32" width="19.42578125" style="1" customWidth="1"/>
    <col min="33" max="33" width="2.7109375" style="1" customWidth="1"/>
    <col min="34" max="34" width="12.85546875" style="1" customWidth="1"/>
    <col min="35" max="35" width="10.28515625" style="1" customWidth="1"/>
    <col min="36" max="36" width="16.85546875" style="1" customWidth="1"/>
    <col min="37" max="37" width="15.28515625" style="1" customWidth="1"/>
    <col min="38" max="38" width="2.5703125" style="1" customWidth="1"/>
    <col min="39" max="39" width="5.140625" style="1" customWidth="1"/>
    <col min="40" max="40" width="15.42578125" style="1" customWidth="1"/>
    <col min="41" max="41" width="15.85546875" style="1" customWidth="1"/>
    <col min="42" max="42" width="16.42578125" style="1" customWidth="1"/>
    <col min="43" max="43" width="14.5703125" style="1" customWidth="1"/>
    <col min="44" max="44" width="12.140625" style="1" customWidth="1"/>
    <col min="45" max="45" width="26.5703125" style="1" customWidth="1"/>
    <col min="46" max="46" width="2.5703125" style="1" customWidth="1"/>
    <col min="47" max="47" width="3.7109375" style="1" customWidth="1"/>
    <col min="48" max="16384" width="9.140625" style="1"/>
  </cols>
  <sheetData>
    <row r="1" spans="1:52" ht="18" customHeight="1" thickBot="1" x14ac:dyDescent="0.4">
      <c r="A1" s="2"/>
    </row>
    <row r="2" spans="1:52" ht="24" customHeight="1" thickBot="1" x14ac:dyDescent="0.45">
      <c r="B2" s="423" t="s">
        <v>6</v>
      </c>
      <c r="C2" s="3"/>
      <c r="D2" s="3"/>
      <c r="E2" s="3"/>
      <c r="F2" s="3"/>
      <c r="G2" s="3"/>
      <c r="H2" s="3"/>
      <c r="I2" s="3"/>
      <c r="J2" s="3"/>
      <c r="K2" s="3"/>
      <c r="L2" s="3"/>
      <c r="M2" s="3"/>
      <c r="N2" s="3"/>
      <c r="O2" s="3"/>
      <c r="P2" s="3"/>
      <c r="Q2" s="3"/>
      <c r="R2" s="3"/>
      <c r="S2" s="3"/>
      <c r="T2" s="3"/>
      <c r="U2" s="4"/>
      <c r="V2" s="383"/>
      <c r="W2" s="425" t="s">
        <v>325</v>
      </c>
      <c r="X2" s="367"/>
      <c r="Y2" s="367"/>
      <c r="Z2" s="367"/>
      <c r="AA2" s="367"/>
      <c r="AB2" s="367"/>
      <c r="AC2" s="367"/>
      <c r="AD2" s="367"/>
      <c r="AE2" s="367"/>
      <c r="AF2" s="367"/>
      <c r="AG2" s="367"/>
      <c r="AH2" s="367"/>
      <c r="AI2" s="367"/>
      <c r="AJ2" s="367"/>
      <c r="AK2" s="367"/>
      <c r="AL2" s="367"/>
      <c r="AM2" s="367"/>
      <c r="AN2" s="367"/>
      <c r="AO2" s="367"/>
      <c r="AP2" s="367"/>
      <c r="AQ2" s="367"/>
      <c r="AR2" s="367"/>
      <c r="AS2" s="367"/>
      <c r="AT2" s="368"/>
      <c r="AW2" s="468"/>
      <c r="AX2" s="468"/>
      <c r="AY2" s="468"/>
      <c r="AZ2" s="468"/>
    </row>
    <row r="3" spans="1:52" ht="18" customHeight="1" thickBot="1" x14ac:dyDescent="0.3">
      <c r="B3" s="108"/>
      <c r="C3" s="109"/>
      <c r="D3" s="109"/>
      <c r="E3" s="109"/>
      <c r="F3" s="109"/>
      <c r="G3" s="109"/>
      <c r="H3" s="109"/>
      <c r="I3" s="109"/>
      <c r="J3" s="109"/>
      <c r="K3" s="109"/>
      <c r="L3" s="109"/>
      <c r="M3" s="109"/>
      <c r="N3" s="109"/>
      <c r="O3" s="109"/>
      <c r="P3" s="109"/>
      <c r="Q3" s="109"/>
      <c r="R3" s="109"/>
      <c r="S3" s="109"/>
      <c r="T3" s="109"/>
      <c r="U3" s="110"/>
      <c r="W3" s="123"/>
      <c r="X3" s="124"/>
      <c r="Y3" s="124"/>
      <c r="Z3" s="124"/>
      <c r="AA3" s="124"/>
      <c r="AB3" s="124"/>
      <c r="AC3" s="124"/>
      <c r="AD3" s="124"/>
      <c r="AE3" s="124"/>
      <c r="AF3" s="124"/>
      <c r="AG3" s="124"/>
      <c r="AH3" s="124"/>
      <c r="AI3" s="124"/>
      <c r="AJ3" s="124"/>
      <c r="AK3" s="124"/>
      <c r="AL3" s="124"/>
      <c r="AM3" s="124"/>
      <c r="AN3" s="124"/>
      <c r="AO3" s="124"/>
      <c r="AP3" s="124"/>
      <c r="AQ3" s="124"/>
      <c r="AR3" s="124"/>
      <c r="AS3" s="124"/>
      <c r="AT3" s="125"/>
      <c r="AW3" s="468"/>
      <c r="AX3" s="468"/>
      <c r="AY3" s="468"/>
      <c r="AZ3" s="468"/>
    </row>
    <row r="4" spans="1:52" ht="18" customHeight="1" thickBot="1" x14ac:dyDescent="0.4">
      <c r="B4" s="108"/>
      <c r="C4" s="420" t="s">
        <v>7</v>
      </c>
      <c r="D4" s="111"/>
      <c r="E4" s="111"/>
      <c r="F4" s="111"/>
      <c r="G4" s="111"/>
      <c r="H4" s="111"/>
      <c r="I4" s="112"/>
      <c r="J4" s="109"/>
      <c r="K4" s="420" t="s">
        <v>15</v>
      </c>
      <c r="L4" s="409"/>
      <c r="M4" s="409"/>
      <c r="N4" s="409"/>
      <c r="O4" s="111"/>
      <c r="P4" s="111"/>
      <c r="Q4" s="111"/>
      <c r="R4" s="111"/>
      <c r="S4" s="111"/>
      <c r="T4" s="112"/>
      <c r="U4" s="110"/>
      <c r="W4" s="123"/>
      <c r="X4" s="419" t="s">
        <v>369</v>
      </c>
      <c r="Y4" s="493"/>
      <c r="Z4" s="367"/>
      <c r="AA4" s="367"/>
      <c r="AB4" s="368"/>
      <c r="AC4" s="124"/>
      <c r="AD4" s="419" t="s">
        <v>357</v>
      </c>
      <c r="AE4" s="367"/>
      <c r="AF4" s="367"/>
      <c r="AG4" s="367"/>
      <c r="AH4" s="367"/>
      <c r="AI4" s="367"/>
      <c r="AJ4" s="367"/>
      <c r="AK4" s="368"/>
      <c r="AL4" s="124"/>
      <c r="AM4" s="463" t="s">
        <v>361</v>
      </c>
      <c r="AN4" s="449"/>
      <c r="AO4" s="449"/>
      <c r="AP4" s="449"/>
      <c r="AQ4" s="449"/>
      <c r="AR4" s="449"/>
      <c r="AS4" s="450"/>
      <c r="AT4" s="125"/>
      <c r="AW4" s="468"/>
      <c r="AX4" s="468"/>
      <c r="AY4" s="468"/>
      <c r="AZ4" s="468"/>
    </row>
    <row r="5" spans="1:52" ht="18" customHeight="1" thickBot="1" x14ac:dyDescent="0.3">
      <c r="B5" s="108"/>
      <c r="C5" s="89" t="s">
        <v>3</v>
      </c>
      <c r="D5" s="113"/>
      <c r="E5" s="113"/>
      <c r="F5" s="113"/>
      <c r="G5" s="113"/>
      <c r="H5" s="113"/>
      <c r="I5" s="114"/>
      <c r="J5" s="109"/>
      <c r="K5" s="89" t="s">
        <v>229</v>
      </c>
      <c r="L5" s="113"/>
      <c r="M5" s="113"/>
      <c r="N5" s="113"/>
      <c r="O5" s="113"/>
      <c r="P5" s="113"/>
      <c r="Q5" s="113"/>
      <c r="R5" s="113"/>
      <c r="S5" s="115">
        <v>10000</v>
      </c>
      <c r="T5" s="114" t="s">
        <v>11</v>
      </c>
      <c r="U5" s="110"/>
      <c r="W5" s="123"/>
      <c r="X5" s="266" t="s">
        <v>370</v>
      </c>
      <c r="Y5" s="126"/>
      <c r="Z5" s="126"/>
      <c r="AA5" s="126"/>
      <c r="AB5" s="268"/>
      <c r="AC5" s="124"/>
      <c r="AD5" s="490" t="s">
        <v>414</v>
      </c>
      <c r="AE5" s="126"/>
      <c r="AF5" s="126"/>
      <c r="AG5" s="126"/>
      <c r="AH5" s="126"/>
      <c r="AI5" s="126"/>
      <c r="AJ5" s="126"/>
      <c r="AK5" s="268"/>
      <c r="AL5" s="124"/>
      <c r="AM5" s="490" t="s">
        <v>414</v>
      </c>
      <c r="AN5" s="451"/>
      <c r="AO5" s="451"/>
      <c r="AP5" s="451"/>
      <c r="AQ5" s="451"/>
      <c r="AR5" s="451"/>
      <c r="AS5" s="455"/>
      <c r="AT5" s="125"/>
      <c r="AW5" s="468"/>
      <c r="AX5" s="468"/>
      <c r="AY5" s="468"/>
      <c r="AZ5" s="468"/>
    </row>
    <row r="6" spans="1:52" ht="18" customHeight="1" thickBot="1" x14ac:dyDescent="0.3">
      <c r="B6" s="108"/>
      <c r="C6" s="89" t="s">
        <v>4</v>
      </c>
      <c r="D6" s="113"/>
      <c r="E6" s="113"/>
      <c r="F6" s="113"/>
      <c r="G6" s="113"/>
      <c r="H6" s="113"/>
      <c r="I6" s="114"/>
      <c r="J6" s="109"/>
      <c r="K6" s="89"/>
      <c r="L6" s="113"/>
      <c r="M6" s="113"/>
      <c r="N6" s="113"/>
      <c r="O6" s="113"/>
      <c r="P6" s="113"/>
      <c r="Q6" s="113"/>
      <c r="R6" s="113"/>
      <c r="S6" s="113">
        <f>S5*Klimagassberegninger!H17</f>
        <v>10</v>
      </c>
      <c r="T6" s="114" t="s">
        <v>16</v>
      </c>
      <c r="U6" s="110"/>
      <c r="W6" s="123"/>
      <c r="X6" s="266" t="s">
        <v>371</v>
      </c>
      <c r="Y6" s="126"/>
      <c r="Z6" s="126"/>
      <c r="AA6" s="126"/>
      <c r="AB6" s="268"/>
      <c r="AC6" s="124"/>
      <c r="AD6" s="490" t="s">
        <v>391</v>
      </c>
      <c r="AE6" s="126"/>
      <c r="AF6" s="126"/>
      <c r="AG6" s="126"/>
      <c r="AH6" s="126"/>
      <c r="AI6" s="126"/>
      <c r="AJ6" s="126"/>
      <c r="AK6" s="268"/>
      <c r="AL6" s="124"/>
      <c r="AM6" s="489" t="s">
        <v>403</v>
      </c>
      <c r="AN6" s="126"/>
      <c r="AO6" s="126"/>
      <c r="AP6" s="126"/>
      <c r="AQ6" s="126"/>
      <c r="AR6" s="126"/>
      <c r="AS6" s="268"/>
      <c r="AT6" s="125"/>
      <c r="AW6" s="468"/>
      <c r="AX6" s="468"/>
      <c r="AY6" s="468"/>
      <c r="AZ6" s="468"/>
    </row>
    <row r="7" spans="1:52" ht="18" customHeight="1" thickBot="1" x14ac:dyDescent="0.4">
      <c r="B7" s="108"/>
      <c r="C7" s="89" t="s">
        <v>5</v>
      </c>
      <c r="D7" s="113"/>
      <c r="E7" s="113"/>
      <c r="F7" s="113"/>
      <c r="G7" s="113"/>
      <c r="H7" s="113"/>
      <c r="I7" s="114"/>
      <c r="J7" s="109"/>
      <c r="K7" s="89" t="s">
        <v>230</v>
      </c>
      <c r="L7" s="113"/>
      <c r="M7" s="113"/>
      <c r="N7" s="113"/>
      <c r="O7" s="113"/>
      <c r="P7" s="113"/>
      <c r="Q7" s="113"/>
      <c r="R7" s="113"/>
      <c r="S7" s="115">
        <v>10000</v>
      </c>
      <c r="T7" s="114" t="s">
        <v>11</v>
      </c>
      <c r="U7" s="110"/>
      <c r="W7" s="123"/>
      <c r="X7" s="271" t="s">
        <v>372</v>
      </c>
      <c r="Y7" s="272"/>
      <c r="Z7" s="272"/>
      <c r="AA7" s="272"/>
      <c r="AB7" s="273"/>
      <c r="AC7" s="124"/>
      <c r="AD7" s="266" t="s">
        <v>388</v>
      </c>
      <c r="AE7" s="126"/>
      <c r="AF7" s="432">
        <f>T47</f>
        <v>118.48461086209862</v>
      </c>
      <c r="AG7" s="126"/>
      <c r="AH7" s="126" t="s">
        <v>392</v>
      </c>
      <c r="AI7" s="126"/>
      <c r="AJ7" s="432">
        <f>T46</f>
        <v>59242.30543104931</v>
      </c>
      <c r="AK7" s="268"/>
      <c r="AL7" s="124"/>
      <c r="AM7" s="454" t="s">
        <v>404</v>
      </c>
      <c r="AN7" s="451"/>
      <c r="AO7" s="464">
        <f>AK46</f>
        <v>583.89049637925689</v>
      </c>
      <c r="AP7" s="356" t="s">
        <v>448</v>
      </c>
      <c r="AQ7" s="451"/>
      <c r="AR7" s="451"/>
      <c r="AS7" s="455"/>
      <c r="AT7" s="125"/>
      <c r="AW7" s="468"/>
      <c r="AX7" s="468"/>
      <c r="AY7" s="468"/>
      <c r="AZ7" s="468"/>
    </row>
    <row r="8" spans="1:52" ht="18" customHeight="1" thickBot="1" x14ac:dyDescent="0.4">
      <c r="B8" s="108"/>
      <c r="C8" s="89" t="s">
        <v>14</v>
      </c>
      <c r="D8" s="113"/>
      <c r="E8" s="113"/>
      <c r="F8" s="113"/>
      <c r="G8" s="113"/>
      <c r="H8" s="113"/>
      <c r="I8" s="114"/>
      <c r="J8" s="109"/>
      <c r="K8" s="116"/>
      <c r="L8" s="117"/>
      <c r="M8" s="117"/>
      <c r="N8" s="117"/>
      <c r="O8" s="117"/>
      <c r="P8" s="117"/>
      <c r="Q8" s="117"/>
      <c r="R8" s="117"/>
      <c r="S8" s="117">
        <f>S7*Klimagassberegninger!H17</f>
        <v>10</v>
      </c>
      <c r="T8" s="118" t="s">
        <v>16</v>
      </c>
      <c r="U8" s="110"/>
      <c r="W8" s="123"/>
      <c r="X8" s="128"/>
      <c r="Y8" s="128"/>
      <c r="Z8" s="128"/>
      <c r="AA8" s="128"/>
      <c r="AB8" s="128"/>
      <c r="AC8" s="124"/>
      <c r="AD8" s="266" t="s">
        <v>389</v>
      </c>
      <c r="AE8" s="126"/>
      <c r="AF8" s="432">
        <f>Y47</f>
        <v>204.64776875683546</v>
      </c>
      <c r="AG8" s="126"/>
      <c r="AH8" s="126" t="s">
        <v>393</v>
      </c>
      <c r="AI8" s="126"/>
      <c r="AJ8" s="432">
        <f>Y46</f>
        <v>102323.88437841773</v>
      </c>
      <c r="AK8" s="268"/>
      <c r="AL8" s="124"/>
      <c r="AM8" s="454" t="s">
        <v>405</v>
      </c>
      <c r="AN8" s="451"/>
      <c r="AO8" s="464">
        <f>AN46</f>
        <v>1064.9026861003094</v>
      </c>
      <c r="AP8" s="356" t="s">
        <v>448</v>
      </c>
      <c r="AQ8" s="451"/>
      <c r="AR8" s="451"/>
      <c r="AS8" s="455"/>
      <c r="AT8" s="125"/>
    </row>
    <row r="9" spans="1:52" ht="18" customHeight="1" x14ac:dyDescent="0.35">
      <c r="B9" s="108"/>
      <c r="C9" s="89" t="s">
        <v>8</v>
      </c>
      <c r="D9" s="113"/>
      <c r="E9" s="113"/>
      <c r="F9" s="113"/>
      <c r="G9" s="113"/>
      <c r="H9" s="113"/>
      <c r="I9" s="114"/>
      <c r="J9" s="109"/>
      <c r="K9" s="109"/>
      <c r="L9" s="109"/>
      <c r="M9" s="109"/>
      <c r="N9" s="109"/>
      <c r="O9" s="109"/>
      <c r="P9" s="109"/>
      <c r="Q9" s="109"/>
      <c r="R9" s="109"/>
      <c r="S9" s="109"/>
      <c r="T9" s="109"/>
      <c r="U9" s="110"/>
      <c r="W9" s="123"/>
      <c r="X9" s="419" t="s">
        <v>362</v>
      </c>
      <c r="Y9" s="493"/>
      <c r="Z9" s="367"/>
      <c r="AA9" s="367"/>
      <c r="AB9" s="368"/>
      <c r="AC9" s="124"/>
      <c r="AD9" s="266" t="s">
        <v>390</v>
      </c>
      <c r="AE9" s="126"/>
      <c r="AF9" s="432">
        <f>AA47</f>
        <v>691.15439735456869</v>
      </c>
      <c r="AG9" s="126"/>
      <c r="AH9" s="126" t="s">
        <v>394</v>
      </c>
      <c r="AI9" s="126"/>
      <c r="AJ9" s="432">
        <f>AA46</f>
        <v>345577.19867728435</v>
      </c>
      <c r="AK9" s="268"/>
      <c r="AL9" s="124"/>
      <c r="AM9" s="454" t="s">
        <v>406</v>
      </c>
      <c r="AN9" s="451"/>
      <c r="AO9" s="464">
        <f>AP46</f>
        <v>3780.861855348644</v>
      </c>
      <c r="AP9" s="356" t="s">
        <v>448</v>
      </c>
      <c r="AQ9" s="451"/>
      <c r="AR9" s="451"/>
      <c r="AS9" s="455"/>
      <c r="AT9" s="125"/>
    </row>
    <row r="10" spans="1:52" ht="18" customHeight="1" x14ac:dyDescent="0.35">
      <c r="B10" s="108"/>
      <c r="C10" s="116" t="s">
        <v>12</v>
      </c>
      <c r="D10" s="117"/>
      <c r="E10" s="117"/>
      <c r="F10" s="117"/>
      <c r="G10" s="117"/>
      <c r="H10" s="117"/>
      <c r="I10" s="118"/>
      <c r="J10" s="109"/>
      <c r="K10" s="420" t="s">
        <v>294</v>
      </c>
      <c r="L10" s="409"/>
      <c r="M10" s="409"/>
      <c r="N10" s="409"/>
      <c r="O10" s="195"/>
      <c r="P10" s="421" t="s">
        <v>187</v>
      </c>
      <c r="Q10" s="195"/>
      <c r="R10" s="195"/>
      <c r="S10" s="422" t="s">
        <v>188</v>
      </c>
      <c r="T10" s="196"/>
      <c r="U10" s="110"/>
      <c r="W10" s="123"/>
      <c r="X10" s="490" t="s">
        <v>414</v>
      </c>
      <c r="Y10" s="494"/>
      <c r="Z10" s="126"/>
      <c r="AA10" s="126"/>
      <c r="AB10" s="268"/>
      <c r="AC10" s="124"/>
      <c r="AD10" s="266"/>
      <c r="AE10" s="126"/>
      <c r="AF10" s="126"/>
      <c r="AG10" s="126"/>
      <c r="AH10" s="126"/>
      <c r="AI10" s="126"/>
      <c r="AJ10" s="126"/>
      <c r="AK10" s="268"/>
      <c r="AL10" s="124"/>
      <c r="AM10" s="454"/>
      <c r="AN10" s="451"/>
      <c r="AO10" s="452"/>
      <c r="AP10" s="451"/>
      <c r="AQ10" s="451"/>
      <c r="AR10" s="451"/>
      <c r="AS10" s="455"/>
      <c r="AT10" s="125"/>
    </row>
    <row r="11" spans="1:52" ht="18" customHeight="1" x14ac:dyDescent="0.25">
      <c r="B11" s="108"/>
      <c r="C11" s="109"/>
      <c r="D11" s="109"/>
      <c r="E11" s="109"/>
      <c r="F11" s="109"/>
      <c r="G11" s="109"/>
      <c r="H11" s="109"/>
      <c r="I11" s="109"/>
      <c r="J11" s="109"/>
      <c r="K11" s="89"/>
      <c r="L11" s="113"/>
      <c r="M11" s="113"/>
      <c r="N11" s="113"/>
      <c r="O11" s="113"/>
      <c r="P11" s="113"/>
      <c r="Q11" s="113"/>
      <c r="R11" s="113"/>
      <c r="S11" s="113"/>
      <c r="T11" s="114"/>
      <c r="U11" s="110"/>
      <c r="W11" s="123"/>
      <c r="X11" s="266" t="s">
        <v>415</v>
      </c>
      <c r="Y11" s="126"/>
      <c r="Z11" s="481">
        <f>G56</f>
        <v>0.98566791672632392</v>
      </c>
      <c r="AA11" s="126" t="s">
        <v>417</v>
      </c>
      <c r="AB11" s="268"/>
      <c r="AC11" s="124"/>
      <c r="AD11" s="433" t="s">
        <v>380</v>
      </c>
      <c r="AE11" s="126"/>
      <c r="AF11" s="434"/>
      <c r="AG11" s="126"/>
      <c r="AH11" s="126"/>
      <c r="AI11" s="126"/>
      <c r="AJ11" s="126"/>
      <c r="AK11" s="268"/>
      <c r="AL11" s="124"/>
      <c r="AM11" s="460" t="s">
        <v>380</v>
      </c>
      <c r="AN11" s="461"/>
      <c r="AO11" s="459"/>
      <c r="AP11" s="451"/>
      <c r="AQ11" s="451"/>
      <c r="AR11" s="451"/>
      <c r="AS11" s="455"/>
      <c r="AT11" s="125"/>
    </row>
    <row r="12" spans="1:52" ht="18" customHeight="1" thickBot="1" x14ac:dyDescent="0.4">
      <c r="B12" s="108"/>
      <c r="C12" s="420" t="s">
        <v>9</v>
      </c>
      <c r="D12" s="111"/>
      <c r="E12" s="111"/>
      <c r="F12" s="111"/>
      <c r="G12" s="111"/>
      <c r="H12" s="111"/>
      <c r="I12" s="112"/>
      <c r="J12" s="109"/>
      <c r="K12" s="89"/>
      <c r="L12" s="113"/>
      <c r="M12" s="113"/>
      <c r="N12" s="113"/>
      <c r="O12" s="113"/>
      <c r="P12" s="113"/>
      <c r="Q12" s="113"/>
      <c r="R12" s="113"/>
      <c r="S12" s="113"/>
      <c r="T12" s="114"/>
      <c r="U12" s="110"/>
      <c r="W12" s="123"/>
      <c r="X12" s="266" t="s">
        <v>416</v>
      </c>
      <c r="Y12" s="126"/>
      <c r="Z12" s="437">
        <f>I56</f>
        <v>0.97325915760223636</v>
      </c>
      <c r="AA12" s="126" t="s">
        <v>417</v>
      </c>
      <c r="AB12" s="268"/>
      <c r="AC12" s="124"/>
      <c r="AD12" s="266" t="s">
        <v>354</v>
      </c>
      <c r="AE12" s="126"/>
      <c r="AF12" s="126"/>
      <c r="AG12" s="126"/>
      <c r="AH12" s="126"/>
      <c r="AI12" s="126"/>
      <c r="AJ12" s="126"/>
      <c r="AK12" s="268"/>
      <c r="AL12" s="124"/>
      <c r="AM12" s="454" t="s">
        <v>360</v>
      </c>
      <c r="AN12" s="451"/>
      <c r="AO12" s="451"/>
      <c r="AP12" s="451"/>
      <c r="AQ12" s="451"/>
      <c r="AR12" s="451"/>
      <c r="AS12" s="455"/>
      <c r="AT12" s="125"/>
    </row>
    <row r="13" spans="1:52" ht="18" customHeight="1" thickBot="1" x14ac:dyDescent="0.4">
      <c r="B13" s="108"/>
      <c r="C13" s="89" t="s">
        <v>442</v>
      </c>
      <c r="D13" s="113"/>
      <c r="E13" s="113"/>
      <c r="F13" s="113"/>
      <c r="G13" s="113"/>
      <c r="H13" s="115">
        <v>500</v>
      </c>
      <c r="I13" s="114" t="s">
        <v>60</v>
      </c>
      <c r="J13" s="109"/>
      <c r="K13" s="89"/>
      <c r="L13" s="113"/>
      <c r="M13" s="113"/>
      <c r="N13" s="113"/>
      <c r="O13" s="113"/>
      <c r="P13" s="113"/>
      <c r="Q13" s="113"/>
      <c r="R13" s="113"/>
      <c r="S13" s="113"/>
      <c r="T13" s="114"/>
      <c r="U13" s="110"/>
      <c r="W13" s="123"/>
      <c r="X13" s="266" t="s">
        <v>418</v>
      </c>
      <c r="Y13" s="126"/>
      <c r="Z13" s="401">
        <f>K56</f>
        <v>0.90319506392177518</v>
      </c>
      <c r="AA13" s="126" t="s">
        <v>419</v>
      </c>
      <c r="AB13" s="268"/>
      <c r="AC13" s="124"/>
      <c r="AD13" s="266" t="s">
        <v>356</v>
      </c>
      <c r="AE13" s="126"/>
      <c r="AF13" s="436">
        <f>AA46-T46</f>
        <v>286334.89324623503</v>
      </c>
      <c r="AG13" s="404"/>
      <c r="AH13" s="126" t="s">
        <v>379</v>
      </c>
      <c r="AI13" s="126"/>
      <c r="AJ13" s="126"/>
      <c r="AK13" s="268"/>
      <c r="AL13" s="124"/>
      <c r="AM13" s="454" t="s">
        <v>356</v>
      </c>
      <c r="AN13" s="451"/>
      <c r="AO13" s="464">
        <f>AP46-AK46</f>
        <v>3196.971358969387</v>
      </c>
      <c r="AP13" s="427" t="s">
        <v>450</v>
      </c>
      <c r="AQ13" s="451"/>
      <c r="AR13" s="451"/>
      <c r="AS13" s="455"/>
      <c r="AT13" s="125"/>
    </row>
    <row r="14" spans="1:52" ht="18" customHeight="1" x14ac:dyDescent="0.25">
      <c r="B14" s="108"/>
      <c r="C14" s="116"/>
      <c r="D14" s="117"/>
      <c r="E14" s="117"/>
      <c r="F14" s="117"/>
      <c r="G14" s="117"/>
      <c r="H14" s="117"/>
      <c r="I14" s="118"/>
      <c r="J14" s="109"/>
      <c r="K14" s="193"/>
      <c r="L14" s="194" t="s">
        <v>258</v>
      </c>
      <c r="M14" s="410"/>
      <c r="N14" s="410"/>
      <c r="O14" s="194"/>
      <c r="P14" s="117"/>
      <c r="Q14" s="194" t="s">
        <v>168</v>
      </c>
      <c r="R14" s="194"/>
      <c r="S14" s="491" t="s">
        <v>231</v>
      </c>
      <c r="T14" s="233"/>
      <c r="U14" s="110"/>
      <c r="W14" s="123"/>
      <c r="X14" s="266"/>
      <c r="Y14" s="126"/>
      <c r="Z14" s="126"/>
      <c r="AA14" s="126"/>
      <c r="AB14" s="268"/>
      <c r="AC14" s="124"/>
      <c r="AD14" s="266" t="s">
        <v>377</v>
      </c>
      <c r="AE14" s="126"/>
      <c r="AF14" s="432">
        <f>AA47-T47</f>
        <v>572.66978649247005</v>
      </c>
      <c r="AG14" s="126"/>
      <c r="AH14" s="126" t="s">
        <v>378</v>
      </c>
      <c r="AI14" s="126"/>
      <c r="AJ14" s="126"/>
      <c r="AK14" s="268"/>
      <c r="AL14" s="124"/>
      <c r="AM14" s="454" t="s">
        <v>412</v>
      </c>
      <c r="AN14" s="451"/>
      <c r="AO14" s="452"/>
      <c r="AP14" s="453">
        <f>AO13/AP46</f>
        <v>0.84556682610520428</v>
      </c>
      <c r="AQ14" s="126" t="s">
        <v>428</v>
      </c>
      <c r="AR14" s="451"/>
      <c r="AS14" s="455"/>
      <c r="AT14" s="125"/>
    </row>
    <row r="15" spans="1:52" ht="18" customHeight="1" x14ac:dyDescent="0.25">
      <c r="B15" s="108"/>
      <c r="C15" s="109"/>
      <c r="D15" s="109"/>
      <c r="E15" s="109"/>
      <c r="F15" s="109"/>
      <c r="G15" s="109"/>
      <c r="H15" s="109"/>
      <c r="I15" s="109"/>
      <c r="J15" s="109"/>
      <c r="K15" s="109"/>
      <c r="L15" s="109"/>
      <c r="M15" s="109"/>
      <c r="N15" s="109"/>
      <c r="O15" s="109"/>
      <c r="P15" s="109"/>
      <c r="Q15" s="109"/>
      <c r="R15" s="109"/>
      <c r="S15" s="109"/>
      <c r="T15" s="109"/>
      <c r="U15" s="110"/>
      <c r="W15" s="123"/>
      <c r="X15" s="433" t="s">
        <v>380</v>
      </c>
      <c r="Y15" s="356"/>
      <c r="Z15" s="126"/>
      <c r="AA15" s="126"/>
      <c r="AB15" s="268"/>
      <c r="AC15" s="124"/>
      <c r="AD15" s="266" t="s">
        <v>358</v>
      </c>
      <c r="AE15" s="126"/>
      <c r="AF15" s="399"/>
      <c r="AG15" s="399"/>
      <c r="AH15" s="401">
        <f>AF13/AA46</f>
        <v>0.82856998188016318</v>
      </c>
      <c r="AI15" s="126" t="s">
        <v>430</v>
      </c>
      <c r="AJ15" s="126"/>
      <c r="AK15" s="268"/>
      <c r="AL15" s="124"/>
      <c r="AM15" s="454"/>
      <c r="AN15" s="451"/>
      <c r="AO15" s="453"/>
      <c r="AP15" s="451"/>
      <c r="AQ15" s="451"/>
      <c r="AR15" s="451"/>
      <c r="AS15" s="455"/>
      <c r="AT15" s="125"/>
    </row>
    <row r="16" spans="1:52" ht="24" customHeight="1" thickBot="1" x14ac:dyDescent="0.4">
      <c r="B16" s="108"/>
      <c r="C16" s="420" t="s">
        <v>10</v>
      </c>
      <c r="D16" s="111"/>
      <c r="E16" s="111"/>
      <c r="F16" s="111"/>
      <c r="G16" s="111"/>
      <c r="H16" s="111"/>
      <c r="I16" s="112"/>
      <c r="J16" s="109"/>
      <c r="K16" s="415" t="s">
        <v>364</v>
      </c>
      <c r="L16" s="411"/>
      <c r="M16" s="411"/>
      <c r="N16" s="411"/>
      <c r="O16" s="411"/>
      <c r="P16" s="411"/>
      <c r="Q16" s="411"/>
      <c r="R16" s="411"/>
      <c r="S16" s="411"/>
      <c r="T16" s="412"/>
      <c r="U16" s="110"/>
      <c r="W16" s="123"/>
      <c r="X16" s="266" t="s">
        <v>375</v>
      </c>
      <c r="Y16" s="126"/>
      <c r="Z16" s="126"/>
      <c r="AA16" s="126"/>
      <c r="AB16" s="268"/>
      <c r="AC16" s="124"/>
      <c r="AD16" s="433" t="s">
        <v>382</v>
      </c>
      <c r="AE16" s="126"/>
      <c r="AF16" s="435"/>
      <c r="AG16" s="126"/>
      <c r="AH16" s="126"/>
      <c r="AI16" s="126"/>
      <c r="AJ16" s="126"/>
      <c r="AK16" s="268"/>
      <c r="AL16" s="124"/>
      <c r="AM16" s="460" t="s">
        <v>382</v>
      </c>
      <c r="AN16" s="461"/>
      <c r="AO16" s="461"/>
      <c r="AP16" s="451"/>
      <c r="AQ16" s="451"/>
      <c r="AR16" s="451"/>
      <c r="AS16" s="455"/>
      <c r="AT16" s="125"/>
    </row>
    <row r="17" spans="2:46" ht="18" customHeight="1" thickBot="1" x14ac:dyDescent="0.4">
      <c r="B17" s="108"/>
      <c r="C17" s="89" t="s">
        <v>158</v>
      </c>
      <c r="D17" s="113"/>
      <c r="E17" s="113"/>
      <c r="F17" s="113"/>
      <c r="G17" s="113"/>
      <c r="H17" s="115">
        <v>500</v>
      </c>
      <c r="I17" s="114" t="s">
        <v>11</v>
      </c>
      <c r="J17" s="109"/>
      <c r="K17" s="416" t="s">
        <v>189</v>
      </c>
      <c r="L17" s="413"/>
      <c r="M17" s="413"/>
      <c r="N17" s="413"/>
      <c r="O17" s="413"/>
      <c r="P17" s="414"/>
      <c r="Q17" s="414"/>
      <c r="R17" s="414"/>
      <c r="S17" s="417" t="s">
        <v>205</v>
      </c>
      <c r="T17" s="418" t="s">
        <v>204</v>
      </c>
      <c r="U17" s="110"/>
      <c r="W17" s="123"/>
      <c r="X17" s="266" t="s">
        <v>366</v>
      </c>
      <c r="Y17" s="126"/>
      <c r="Z17" s="438">
        <f>F56-J56</f>
        <v>564.93904171115992</v>
      </c>
      <c r="AA17" s="126" t="s">
        <v>376</v>
      </c>
      <c r="AB17" s="268"/>
      <c r="AC17" s="124"/>
      <c r="AD17" s="266" t="s">
        <v>359</v>
      </c>
      <c r="AE17" s="126"/>
      <c r="AF17" s="126"/>
      <c r="AG17" s="126"/>
      <c r="AH17" s="126"/>
      <c r="AI17" s="126"/>
      <c r="AJ17" s="126"/>
      <c r="AK17" s="268"/>
      <c r="AL17" s="124"/>
      <c r="AM17" s="454" t="s">
        <v>359</v>
      </c>
      <c r="AN17" s="451"/>
      <c r="AO17" s="451"/>
      <c r="AP17" s="451"/>
      <c r="AQ17" s="451"/>
      <c r="AR17" s="451"/>
      <c r="AS17" s="455"/>
      <c r="AT17" s="125"/>
    </row>
    <row r="18" spans="2:46" ht="18" customHeight="1" thickBot="1" x14ac:dyDescent="0.4">
      <c r="B18" s="108"/>
      <c r="C18" s="89"/>
      <c r="D18" s="113"/>
      <c r="E18" s="113"/>
      <c r="F18" s="113"/>
      <c r="G18" s="113"/>
      <c r="H18" s="113"/>
      <c r="I18" s="114"/>
      <c r="J18" s="109"/>
      <c r="K18" s="384" t="s">
        <v>240</v>
      </c>
      <c r="L18" s="405"/>
      <c r="M18" s="405"/>
      <c r="N18" s="405"/>
      <c r="O18" s="379"/>
      <c r="P18" s="380"/>
      <c r="Q18" s="379"/>
      <c r="R18" s="379"/>
      <c r="S18" s="382">
        <f>Kostnader!D20</f>
        <v>275</v>
      </c>
      <c r="T18" s="523" t="s">
        <v>445</v>
      </c>
      <c r="U18" s="110"/>
      <c r="W18" s="123"/>
      <c r="X18" s="266" t="s">
        <v>383</v>
      </c>
      <c r="Y18" s="126"/>
      <c r="Z18" s="437">
        <f>Z17/F56</f>
        <v>8.3672047557826645E-2</v>
      </c>
      <c r="AA18" s="126"/>
      <c r="AB18" s="268"/>
      <c r="AC18" s="124"/>
      <c r="AD18" s="266" t="s">
        <v>355</v>
      </c>
      <c r="AE18" s="126"/>
      <c r="AF18" s="440">
        <f>AA46-Y46</f>
        <v>243253.31429886661</v>
      </c>
      <c r="AG18" s="404"/>
      <c r="AH18" s="126" t="s">
        <v>379</v>
      </c>
      <c r="AI18" s="126"/>
      <c r="AJ18" s="126"/>
      <c r="AK18" s="268"/>
      <c r="AL18" s="124"/>
      <c r="AM18" s="454" t="s">
        <v>355</v>
      </c>
      <c r="AN18" s="451"/>
      <c r="AO18" s="464">
        <f>AP46-AN46</f>
        <v>2715.9591692483345</v>
      </c>
      <c r="AP18" s="427" t="s">
        <v>450</v>
      </c>
      <c r="AQ18" s="451"/>
      <c r="AR18" s="451"/>
      <c r="AS18" s="455"/>
      <c r="AT18" s="125"/>
    </row>
    <row r="19" spans="2:46" ht="18" customHeight="1" thickBot="1" x14ac:dyDescent="0.3">
      <c r="B19" s="108"/>
      <c r="C19" s="89" t="s">
        <v>159</v>
      </c>
      <c r="D19" s="113"/>
      <c r="E19" s="113"/>
      <c r="F19" s="113"/>
      <c r="G19" s="119" t="s">
        <v>161</v>
      </c>
      <c r="H19" s="78">
        <v>2</v>
      </c>
      <c r="I19" s="114"/>
      <c r="J19" s="109"/>
      <c r="K19" s="384" t="s">
        <v>241</v>
      </c>
      <c r="L19" s="405"/>
      <c r="M19" s="405"/>
      <c r="N19" s="405"/>
      <c r="O19" s="379"/>
      <c r="P19" s="380"/>
      <c r="Q19" s="379"/>
      <c r="R19" s="379"/>
      <c r="S19" s="382">
        <f>Kostnader!D21</f>
        <v>200</v>
      </c>
      <c r="T19" s="523" t="s">
        <v>445</v>
      </c>
      <c r="U19" s="110"/>
      <c r="W19" s="123"/>
      <c r="X19" s="433" t="s">
        <v>382</v>
      </c>
      <c r="Y19" s="356"/>
      <c r="Z19" s="126"/>
      <c r="AA19" s="126"/>
      <c r="AB19" s="268"/>
      <c r="AC19" s="124"/>
      <c r="AD19" s="266" t="s">
        <v>377</v>
      </c>
      <c r="AE19" s="126"/>
      <c r="AF19" s="432">
        <f>AA47-Y47</f>
        <v>486.5066285977332</v>
      </c>
      <c r="AG19" s="126"/>
      <c r="AH19" s="126" t="s">
        <v>378</v>
      </c>
      <c r="AI19" s="126"/>
      <c r="AJ19" s="126"/>
      <c r="AK19" s="268"/>
      <c r="AL19" s="124"/>
      <c r="AM19" s="454" t="s">
        <v>413</v>
      </c>
      <c r="AN19" s="451"/>
      <c r="AO19" s="451"/>
      <c r="AP19" s="453">
        <f>AO18/AP46</f>
        <v>0.71834393139917785</v>
      </c>
      <c r="AQ19" s="451" t="s">
        <v>429</v>
      </c>
      <c r="AR19" s="451"/>
      <c r="AS19" s="455"/>
      <c r="AT19" s="125"/>
    </row>
    <row r="20" spans="2:46" ht="18" customHeight="1" x14ac:dyDescent="0.25">
      <c r="B20" s="108"/>
      <c r="C20" s="116"/>
      <c r="D20" s="117"/>
      <c r="E20" s="117"/>
      <c r="F20" s="117"/>
      <c r="G20" s="117"/>
      <c r="H20" s="117"/>
      <c r="I20" s="118"/>
      <c r="J20" s="109"/>
      <c r="K20" s="384" t="s">
        <v>198</v>
      </c>
      <c r="L20" s="405"/>
      <c r="M20" s="405"/>
      <c r="N20" s="405"/>
      <c r="O20" s="379"/>
      <c r="P20" s="380"/>
      <c r="Q20" s="379"/>
      <c r="R20" s="379"/>
      <c r="S20" s="382">
        <f>Kostnader!D22</f>
        <v>50</v>
      </c>
      <c r="T20" s="523" t="s">
        <v>445</v>
      </c>
      <c r="U20" s="110"/>
      <c r="W20" s="123"/>
      <c r="X20" s="266" t="s">
        <v>373</v>
      </c>
      <c r="Y20" s="126"/>
      <c r="Z20" s="126"/>
      <c r="AA20" s="126"/>
      <c r="AB20" s="268"/>
      <c r="AC20" s="124"/>
      <c r="AD20" s="266" t="s">
        <v>358</v>
      </c>
      <c r="AE20" s="126"/>
      <c r="AF20" s="126"/>
      <c r="AG20" s="126"/>
      <c r="AH20" s="402">
        <f>AF18/AA46</f>
        <v>0.70390441044702023</v>
      </c>
      <c r="AI20" s="126" t="s">
        <v>430</v>
      </c>
      <c r="AJ20" s="126"/>
      <c r="AK20" s="268"/>
      <c r="AL20" s="124"/>
      <c r="AM20" s="454"/>
      <c r="AN20" s="451"/>
      <c r="AO20" s="451"/>
      <c r="AP20" s="451"/>
      <c r="AQ20" s="451"/>
      <c r="AR20" s="451"/>
      <c r="AS20" s="455"/>
      <c r="AT20" s="125"/>
    </row>
    <row r="21" spans="2:46" ht="18" customHeight="1" x14ac:dyDescent="0.25">
      <c r="B21" s="108"/>
      <c r="C21" s="109"/>
      <c r="D21" s="109"/>
      <c r="E21" s="109"/>
      <c r="F21" s="109"/>
      <c r="G21" s="109"/>
      <c r="H21" s="109"/>
      <c r="I21" s="109"/>
      <c r="J21" s="109"/>
      <c r="K21" s="384" t="s">
        <v>200</v>
      </c>
      <c r="L21" s="405"/>
      <c r="M21" s="405"/>
      <c r="N21" s="405"/>
      <c r="O21" s="379"/>
      <c r="P21" s="380"/>
      <c r="Q21" s="379"/>
      <c r="R21" s="379"/>
      <c r="S21" s="382">
        <f>Kostnader!D23</f>
        <v>200</v>
      </c>
      <c r="T21" s="523" t="s">
        <v>445</v>
      </c>
      <c r="U21" s="110"/>
      <c r="W21" s="123"/>
      <c r="X21" s="266" t="s">
        <v>366</v>
      </c>
      <c r="Y21" s="126"/>
      <c r="Z21" s="438">
        <f>H56-J56</f>
        <v>479.93904171115992</v>
      </c>
      <c r="AA21" s="126" t="s">
        <v>374</v>
      </c>
      <c r="AB21" s="268"/>
      <c r="AC21" s="124"/>
      <c r="AD21" s="433" t="s">
        <v>381</v>
      </c>
      <c r="AE21" s="126"/>
      <c r="AF21" s="435"/>
      <c r="AG21" s="126"/>
      <c r="AH21" s="126"/>
      <c r="AI21" s="126"/>
      <c r="AJ21" s="126"/>
      <c r="AK21" s="268"/>
      <c r="AL21" s="124"/>
      <c r="AM21" s="460" t="s">
        <v>381</v>
      </c>
      <c r="AN21" s="461"/>
      <c r="AO21" s="461"/>
      <c r="AP21" s="451"/>
      <c r="AQ21" s="451"/>
      <c r="AR21" s="451"/>
      <c r="AS21" s="455"/>
      <c r="AT21" s="125"/>
    </row>
    <row r="22" spans="2:46" ht="18" customHeight="1" thickBot="1" x14ac:dyDescent="0.4">
      <c r="B22" s="108"/>
      <c r="C22" s="420" t="s">
        <v>13</v>
      </c>
      <c r="D22" s="111"/>
      <c r="E22" s="111"/>
      <c r="F22" s="111"/>
      <c r="G22" s="111"/>
      <c r="H22" s="111"/>
      <c r="I22" s="112"/>
      <c r="J22" s="109"/>
      <c r="K22" s="384" t="s">
        <v>201</v>
      </c>
      <c r="L22" s="405"/>
      <c r="M22" s="405"/>
      <c r="N22" s="405"/>
      <c r="O22" s="379"/>
      <c r="P22" s="380"/>
      <c r="Q22" s="406"/>
      <c r="R22" s="406"/>
      <c r="S22" s="382">
        <f>Kostnader!D24</f>
        <v>25</v>
      </c>
      <c r="T22" s="522" t="s">
        <v>11</v>
      </c>
      <c r="U22" s="110"/>
      <c r="W22" s="123"/>
      <c r="X22" s="266" t="s">
        <v>384</v>
      </c>
      <c r="Y22" s="126"/>
      <c r="Z22" s="437">
        <f>Z21/F56</f>
        <v>7.1082859136942955E-2</v>
      </c>
      <c r="AA22" s="126"/>
      <c r="AB22" s="268"/>
      <c r="AC22" s="124"/>
      <c r="AD22" s="266" t="s">
        <v>360</v>
      </c>
      <c r="AE22" s="126"/>
      <c r="AF22" s="126"/>
      <c r="AG22" s="126"/>
      <c r="AH22" s="126"/>
      <c r="AI22" s="126"/>
      <c r="AJ22" s="126"/>
      <c r="AK22" s="268"/>
      <c r="AL22" s="124"/>
      <c r="AM22" s="454" t="s">
        <v>360</v>
      </c>
      <c r="AN22" s="451"/>
      <c r="AO22" s="451"/>
      <c r="AP22" s="451"/>
      <c r="AQ22" s="451"/>
      <c r="AR22" s="451"/>
      <c r="AS22" s="455"/>
      <c r="AT22" s="125"/>
    </row>
    <row r="23" spans="2:46" ht="18" customHeight="1" thickBot="1" x14ac:dyDescent="0.4">
      <c r="B23" s="108"/>
      <c r="C23" s="89" t="s">
        <v>246</v>
      </c>
      <c r="D23" s="113"/>
      <c r="E23" s="113"/>
      <c r="F23" s="113"/>
      <c r="G23" s="113"/>
      <c r="H23" s="115" t="s">
        <v>542</v>
      </c>
      <c r="I23" s="114"/>
      <c r="J23" s="109" t="s">
        <v>160</v>
      </c>
      <c r="K23" s="384" t="s">
        <v>431</v>
      </c>
      <c r="L23" s="405"/>
      <c r="M23" s="405"/>
      <c r="N23" s="405"/>
      <c r="O23" s="379"/>
      <c r="P23" s="381"/>
      <c r="Q23" s="406"/>
      <c r="R23" s="406"/>
      <c r="S23" s="381">
        <f>Kostnader!D25</f>
        <v>0.2</v>
      </c>
      <c r="T23" s="522" t="s">
        <v>206</v>
      </c>
      <c r="U23" s="110"/>
      <c r="W23" s="123"/>
      <c r="X23" s="433" t="s">
        <v>381</v>
      </c>
      <c r="Y23" s="356"/>
      <c r="Z23" s="126"/>
      <c r="AA23" s="126"/>
      <c r="AB23" s="268"/>
      <c r="AC23" s="124"/>
      <c r="AD23" s="266" t="s">
        <v>356</v>
      </c>
      <c r="AE23" s="126"/>
      <c r="AF23" s="440">
        <f>Y46-T46</f>
        <v>43081.57894736842</v>
      </c>
      <c r="AG23" s="404"/>
      <c r="AH23" s="126" t="s">
        <v>363</v>
      </c>
      <c r="AI23" s="126"/>
      <c r="AJ23" s="126"/>
      <c r="AK23" s="268"/>
      <c r="AL23" s="124"/>
      <c r="AM23" s="454" t="s">
        <v>356</v>
      </c>
      <c r="AN23" s="451"/>
      <c r="AO23" s="464">
        <f>AN46-AK46</f>
        <v>481.01218972105255</v>
      </c>
      <c r="AP23" s="427" t="s">
        <v>451</v>
      </c>
      <c r="AQ23" s="451"/>
      <c r="AR23" s="451"/>
      <c r="AS23" s="455"/>
      <c r="AT23" s="125"/>
    </row>
    <row r="24" spans="2:46" ht="18" customHeight="1" thickBot="1" x14ac:dyDescent="0.3">
      <c r="B24" s="108"/>
      <c r="C24" s="192" t="s">
        <v>247</v>
      </c>
      <c r="D24" s="113"/>
      <c r="E24" s="113"/>
      <c r="F24" s="113"/>
      <c r="G24" s="113"/>
      <c r="H24" s="113"/>
      <c r="I24" s="114"/>
      <c r="J24" s="109"/>
      <c r="K24" s="385"/>
      <c r="L24" s="379"/>
      <c r="M24" s="379"/>
      <c r="N24" s="379"/>
      <c r="O24" s="379"/>
      <c r="P24" s="382"/>
      <c r="Q24" s="379"/>
      <c r="R24" s="379"/>
      <c r="S24" s="382"/>
      <c r="T24" s="386"/>
      <c r="U24" s="110"/>
      <c r="W24" s="123"/>
      <c r="X24" s="266" t="s">
        <v>385</v>
      </c>
      <c r="Y24" s="126"/>
      <c r="Z24" s="126"/>
      <c r="AA24" s="126"/>
      <c r="AB24" s="268"/>
      <c r="AC24" s="124"/>
      <c r="AD24" s="271" t="s">
        <v>358</v>
      </c>
      <c r="AE24" s="272"/>
      <c r="AF24" s="272"/>
      <c r="AG24" s="272"/>
      <c r="AH24" s="465">
        <f>AF23/Y46</f>
        <v>0.42103150412119456</v>
      </c>
      <c r="AI24" s="272" t="s">
        <v>430</v>
      </c>
      <c r="AJ24" s="272"/>
      <c r="AK24" s="273"/>
      <c r="AL24" s="124"/>
      <c r="AM24" s="456" t="s">
        <v>413</v>
      </c>
      <c r="AN24" s="457"/>
      <c r="AO24" s="457"/>
      <c r="AP24" s="466">
        <f>AO23/AN46</f>
        <v>0.45169591174807422</v>
      </c>
      <c r="AQ24" s="457" t="s">
        <v>429</v>
      </c>
      <c r="AR24" s="457"/>
      <c r="AS24" s="458"/>
      <c r="AT24" s="125"/>
    </row>
    <row r="25" spans="2:46" ht="18" customHeight="1" thickBot="1" x14ac:dyDescent="0.3">
      <c r="B25" s="108"/>
      <c r="C25" s="116"/>
      <c r="D25" s="117"/>
      <c r="E25" s="117"/>
      <c r="F25" s="117"/>
      <c r="G25" s="117"/>
      <c r="H25" s="117"/>
      <c r="I25" s="118"/>
      <c r="J25" s="109"/>
      <c r="K25" s="385"/>
      <c r="L25" s="379"/>
      <c r="M25" s="379"/>
      <c r="N25" s="379"/>
      <c r="O25" s="379"/>
      <c r="P25" s="379"/>
      <c r="Q25" s="379"/>
      <c r="R25" s="379"/>
      <c r="S25" s="379"/>
      <c r="T25" s="386"/>
      <c r="U25" s="110"/>
      <c r="W25" s="123"/>
      <c r="X25" s="266" t="s">
        <v>365</v>
      </c>
      <c r="Y25" s="126"/>
      <c r="Z25" s="429">
        <f>F56-H56</f>
        <v>85</v>
      </c>
      <c r="AA25" s="126" t="s">
        <v>420</v>
      </c>
      <c r="AB25" s="268"/>
      <c r="AC25" s="124"/>
      <c r="AD25" s="431"/>
      <c r="AE25" s="124"/>
      <c r="AF25" s="124"/>
      <c r="AG25" s="124"/>
      <c r="AH25" s="124"/>
      <c r="AI25" s="124"/>
      <c r="AJ25" s="124"/>
      <c r="AK25" s="124"/>
      <c r="AL25" s="124"/>
      <c r="AM25" s="403"/>
      <c r="AN25" s="403"/>
      <c r="AO25" s="403"/>
      <c r="AP25" s="403"/>
      <c r="AQ25" s="403"/>
      <c r="AR25" s="403"/>
      <c r="AS25" s="403"/>
      <c r="AT25" s="125"/>
    </row>
    <row r="26" spans="2:46" ht="18" customHeight="1" x14ac:dyDescent="0.25">
      <c r="B26" s="108"/>
      <c r="C26" s="109"/>
      <c r="D26" s="109"/>
      <c r="E26" s="109"/>
      <c r="F26" s="109"/>
      <c r="G26" s="109"/>
      <c r="H26" s="109"/>
      <c r="I26" s="109"/>
      <c r="J26" s="109"/>
      <c r="K26" s="385" t="s">
        <v>367</v>
      </c>
      <c r="L26" s="379"/>
      <c r="M26" s="379"/>
      <c r="N26" s="379"/>
      <c r="O26" s="379"/>
      <c r="P26" s="379"/>
      <c r="Q26" s="379"/>
      <c r="R26" s="379"/>
      <c r="S26" s="379"/>
      <c r="T26" s="386"/>
      <c r="U26" s="110"/>
      <c r="W26" s="123"/>
      <c r="X26" s="266" t="s">
        <v>421</v>
      </c>
      <c r="Y26" s="126"/>
      <c r="Z26" s="126"/>
      <c r="AA26" s="126"/>
      <c r="AB26" s="268"/>
      <c r="AC26" s="124"/>
      <c r="AD26" s="441" t="s">
        <v>395</v>
      </c>
      <c r="AE26" s="367"/>
      <c r="AF26" s="367"/>
      <c r="AG26" s="367"/>
      <c r="AH26" s="367"/>
      <c r="AI26" s="367"/>
      <c r="AJ26" s="367"/>
      <c r="AK26" s="368"/>
      <c r="AL26" s="124"/>
      <c r="AM26" s="482" t="s">
        <v>407</v>
      </c>
      <c r="AN26" s="367"/>
      <c r="AO26" s="367"/>
      <c r="AP26" s="367"/>
      <c r="AQ26" s="367"/>
      <c r="AR26" s="367"/>
      <c r="AS26" s="368"/>
      <c r="AT26" s="125"/>
    </row>
    <row r="27" spans="2:46" ht="18" customHeight="1" thickBot="1" x14ac:dyDescent="0.4">
      <c r="B27" s="108"/>
      <c r="C27" s="420" t="s">
        <v>444</v>
      </c>
      <c r="D27" s="111"/>
      <c r="E27" s="111"/>
      <c r="F27" s="111"/>
      <c r="G27" s="111"/>
      <c r="H27" s="111"/>
      <c r="I27" s="112"/>
      <c r="J27" s="109"/>
      <c r="K27" s="385" t="s">
        <v>368</v>
      </c>
      <c r="L27" s="379"/>
      <c r="M27" s="379"/>
      <c r="N27" s="379"/>
      <c r="O27" s="379"/>
      <c r="P27" s="379"/>
      <c r="Q27" s="379"/>
      <c r="R27" s="379"/>
      <c r="S27" s="379"/>
      <c r="T27" s="386"/>
      <c r="U27" s="110"/>
      <c r="W27" s="123"/>
      <c r="X27" s="266" t="s">
        <v>383</v>
      </c>
      <c r="Y27" s="126"/>
      <c r="Z27" s="400">
        <f>Z25/F56</f>
        <v>1.2589188420883695E-2</v>
      </c>
      <c r="AA27" s="126"/>
      <c r="AB27" s="268"/>
      <c r="AC27" s="124"/>
      <c r="AD27" s="266" t="s">
        <v>399</v>
      </c>
      <c r="AE27" s="126"/>
      <c r="AF27" s="126"/>
      <c r="AG27" s="126"/>
      <c r="AH27" s="432">
        <f>Kostnader!M26</f>
        <v>15000</v>
      </c>
      <c r="AI27" s="126" t="s">
        <v>400</v>
      </c>
      <c r="AJ27" s="126"/>
      <c r="AK27" s="268"/>
      <c r="AL27" s="124"/>
      <c r="AM27" s="266" t="s">
        <v>408</v>
      </c>
      <c r="AN27" s="126"/>
      <c r="AO27" s="126"/>
      <c r="AP27" s="126"/>
      <c r="AQ27" s="430">
        <f>Klimagassberegninger!R29</f>
        <v>834.2792791759764</v>
      </c>
      <c r="AR27" s="356" t="s">
        <v>448</v>
      </c>
      <c r="AS27" s="268"/>
      <c r="AT27" s="125"/>
    </row>
    <row r="28" spans="2:46" ht="18" customHeight="1" thickBot="1" x14ac:dyDescent="0.4">
      <c r="B28" s="108"/>
      <c r="C28" s="89" t="s">
        <v>441</v>
      </c>
      <c r="D28" s="113"/>
      <c r="E28" s="113"/>
      <c r="F28" s="113"/>
      <c r="G28" s="113"/>
      <c r="H28" s="115" t="s">
        <v>472</v>
      </c>
      <c r="I28" s="114"/>
      <c r="J28" s="109" t="s">
        <v>160</v>
      </c>
      <c r="K28" s="385"/>
      <c r="L28" s="379"/>
      <c r="M28" s="379"/>
      <c r="N28" s="379"/>
      <c r="O28" s="379"/>
      <c r="P28" s="379"/>
      <c r="Q28" s="379"/>
      <c r="R28" s="379"/>
      <c r="S28" s="379"/>
      <c r="T28" s="386"/>
      <c r="U28" s="110"/>
      <c r="W28" s="123"/>
      <c r="X28" s="433" t="s">
        <v>188</v>
      </c>
      <c r="Y28" s="356"/>
      <c r="Z28" s="438"/>
      <c r="AA28" s="126"/>
      <c r="AB28" s="268"/>
      <c r="AC28" s="124"/>
      <c r="AD28" s="266" t="s">
        <v>401</v>
      </c>
      <c r="AE28" s="126"/>
      <c r="AF28" s="275">
        <f>((Kostnader!D42+Kostnader!M26)-Kostnader!D42)/(Kostnader!D42+Kostnader!M26)</f>
        <v>0.20204113965629586</v>
      </c>
      <c r="AG28" s="126"/>
      <c r="AH28" s="126" t="s">
        <v>327</v>
      </c>
      <c r="AI28" s="275">
        <f>((Kostnader!E42+Kostnader!M26)-Kostnader!E42)/(Kostnader!E42+Kostnader!M26)</f>
        <v>0.12785120505914072</v>
      </c>
      <c r="AJ28" s="126" t="s">
        <v>328</v>
      </c>
      <c r="AK28" s="483">
        <f>((Kostnader!F42+Kostnader!M26)-Kostnader!F42)/(Kostnader!F42+Kostnader!M26)</f>
        <v>4.1599968203826887E-2</v>
      </c>
      <c r="AL28" s="124"/>
      <c r="AM28" s="266" t="s">
        <v>449</v>
      </c>
      <c r="AN28" s="126"/>
      <c r="AO28" s="126"/>
      <c r="AP28" s="126"/>
      <c r="AQ28" s="365"/>
      <c r="AR28" s="126"/>
      <c r="AS28" s="268"/>
      <c r="AT28" s="125"/>
    </row>
    <row r="29" spans="2:46" ht="18" customHeight="1" x14ac:dyDescent="0.25">
      <c r="B29" s="108"/>
      <c r="C29" s="192" t="s">
        <v>443</v>
      </c>
      <c r="D29" s="113"/>
      <c r="E29" s="113"/>
      <c r="F29" s="113"/>
      <c r="G29" s="113"/>
      <c r="H29" s="113"/>
      <c r="I29" s="114"/>
      <c r="J29" s="109"/>
      <c r="K29" s="385"/>
      <c r="L29" s="379"/>
      <c r="M29" s="379"/>
      <c r="N29" s="379"/>
      <c r="O29" s="379"/>
      <c r="P29" s="379"/>
      <c r="Q29" s="379"/>
      <c r="R29" s="379"/>
      <c r="S29" s="379"/>
      <c r="T29" s="386"/>
      <c r="U29" s="110"/>
      <c r="W29" s="123"/>
      <c r="X29" s="266" t="s">
        <v>386</v>
      </c>
      <c r="Y29" s="126"/>
      <c r="Z29" s="437"/>
      <c r="AA29" s="401">
        <f>K53</f>
        <v>8.247285280454883E-2</v>
      </c>
      <c r="AB29" s="268" t="s">
        <v>387</v>
      </c>
      <c r="AC29" s="124"/>
      <c r="AD29" s="489" t="s">
        <v>435</v>
      </c>
      <c r="AE29" s="126"/>
      <c r="AF29" s="451"/>
      <c r="AG29" s="451"/>
      <c r="AH29" s="451"/>
      <c r="AI29" s="451"/>
      <c r="AJ29" s="451"/>
      <c r="AK29" s="455"/>
      <c r="AL29" s="124"/>
      <c r="AM29" s="266" t="s">
        <v>326</v>
      </c>
      <c r="AN29" s="126"/>
      <c r="AO29" s="407">
        <f>((Klimagassberegninger!R40+Klimagassberegninger!R29)-Klimagassberegninger!R40)/(Klimagassberegninger!R40+Klimagassberegninger!R29)</f>
        <v>0.58827884612711079</v>
      </c>
      <c r="AP29" s="126" t="s">
        <v>327</v>
      </c>
      <c r="AQ29" s="407">
        <f>((Klimagassberegninger!R51+Klimagassberegninger!R29)-Klimagassberegninger!R51)/(Klimagassberegninger!R51+Klimagassberegninger!R29)</f>
        <v>0.43928348859115696</v>
      </c>
      <c r="AR29" s="126" t="s">
        <v>328</v>
      </c>
      <c r="AS29" s="462">
        <f>((Klimagassberegninger!R62+Klimagassberegninger!R29)-Klimagassberegninger!R62)/(Klimagassberegninger!R62+Klimagassberegninger!R29)</f>
        <v>0.18077004686486386</v>
      </c>
      <c r="AT29" s="125"/>
    </row>
    <row r="30" spans="2:46" ht="18" customHeight="1" thickBot="1" x14ac:dyDescent="0.3">
      <c r="B30" s="108"/>
      <c r="C30" s="116"/>
      <c r="D30" s="117"/>
      <c r="E30" s="117"/>
      <c r="F30" s="117"/>
      <c r="G30" s="117"/>
      <c r="H30" s="117"/>
      <c r="I30" s="118"/>
      <c r="J30" s="109"/>
      <c r="K30" s="408"/>
      <c r="L30" s="387"/>
      <c r="M30" s="387"/>
      <c r="N30" s="387"/>
      <c r="O30" s="387"/>
      <c r="P30" s="387"/>
      <c r="Q30" s="387"/>
      <c r="R30" s="387"/>
      <c r="S30" s="387"/>
      <c r="T30" s="388"/>
      <c r="U30" s="110"/>
      <c r="W30" s="123"/>
      <c r="X30" s="271"/>
      <c r="Y30" s="272"/>
      <c r="Z30" s="439"/>
      <c r="AA30" s="467"/>
      <c r="AB30" s="273"/>
      <c r="AC30" s="124"/>
      <c r="AD30" s="456"/>
      <c r="AE30" s="272"/>
      <c r="AF30" s="457"/>
      <c r="AG30" s="457"/>
      <c r="AH30" s="457"/>
      <c r="AI30" s="457"/>
      <c r="AJ30" s="457"/>
      <c r="AK30" s="458"/>
      <c r="AL30" s="124"/>
      <c r="AM30" s="488" t="s">
        <v>436</v>
      </c>
      <c r="AN30" s="272"/>
      <c r="AO30" s="280"/>
      <c r="AP30" s="272"/>
      <c r="AQ30" s="280"/>
      <c r="AR30" s="272"/>
      <c r="AS30" s="448"/>
      <c r="AT30" s="125"/>
    </row>
    <row r="31" spans="2:46" ht="14.25" customHeight="1" thickBot="1" x14ac:dyDescent="0.3">
      <c r="B31" s="120"/>
      <c r="C31" s="121"/>
      <c r="D31" s="121"/>
      <c r="E31" s="121"/>
      <c r="F31" s="121"/>
      <c r="G31" s="121"/>
      <c r="H31" s="121"/>
      <c r="I31" s="121"/>
      <c r="J31" s="121"/>
      <c r="K31" s="121"/>
      <c r="L31" s="121"/>
      <c r="M31" s="239"/>
      <c r="N31" s="239"/>
      <c r="O31" s="240"/>
      <c r="P31" s="121"/>
      <c r="Q31" s="240"/>
      <c r="R31" s="121"/>
      <c r="S31" s="121"/>
      <c r="T31" s="121"/>
      <c r="U31" s="122"/>
      <c r="W31" s="127"/>
      <c r="X31" s="128"/>
      <c r="Y31" s="128"/>
      <c r="Z31" s="128"/>
      <c r="AA31" s="128"/>
      <c r="AB31" s="128"/>
      <c r="AC31" s="128"/>
      <c r="AD31" s="128"/>
      <c r="AE31" s="128"/>
      <c r="AF31" s="128"/>
      <c r="AG31" s="128"/>
      <c r="AH31" s="128"/>
      <c r="AI31" s="128"/>
      <c r="AJ31" s="128"/>
      <c r="AK31" s="128"/>
      <c r="AL31" s="128"/>
      <c r="AM31" s="128"/>
      <c r="AN31" s="128"/>
      <c r="AO31" s="128"/>
      <c r="AP31" s="128"/>
      <c r="AQ31" s="128"/>
      <c r="AR31" s="128"/>
      <c r="AS31" s="128"/>
      <c r="AT31" s="129"/>
    </row>
    <row r="32" spans="2:46" ht="14.25" customHeight="1" thickBot="1" x14ac:dyDescent="0.3"/>
    <row r="33" spans="2:46" ht="24" customHeight="1" thickBot="1" x14ac:dyDescent="0.45">
      <c r="B33" s="424" t="s">
        <v>57</v>
      </c>
      <c r="C33" s="44"/>
      <c r="D33" s="44"/>
      <c r="E33" s="44"/>
      <c r="F33" s="44"/>
      <c r="G33" s="44"/>
      <c r="H33" s="44"/>
      <c r="I33" s="44"/>
      <c r="J33" s="44"/>
      <c r="K33" s="44"/>
      <c r="L33" s="44"/>
      <c r="M33" s="44"/>
      <c r="N33" s="44"/>
      <c r="O33" s="44"/>
      <c r="P33" s="44"/>
      <c r="Q33" s="44"/>
      <c r="R33" s="44"/>
      <c r="S33" s="44"/>
      <c r="T33" s="44"/>
      <c r="U33" s="44"/>
      <c r="V33" s="44"/>
      <c r="W33" s="369"/>
      <c r="X33" s="369"/>
      <c r="Y33" s="369"/>
      <c r="Z33" s="369"/>
      <c r="AA33" s="369"/>
      <c r="AB33" s="369"/>
      <c r="AC33" s="369"/>
      <c r="AD33" s="369"/>
      <c r="AE33" s="369"/>
      <c r="AF33" s="369"/>
      <c r="AG33" s="369"/>
      <c r="AH33" s="369"/>
      <c r="AI33" s="369"/>
      <c r="AJ33" s="369"/>
      <c r="AK33" s="369"/>
      <c r="AL33" s="369"/>
      <c r="AM33" s="369"/>
      <c r="AN33" s="369"/>
      <c r="AO33" s="369"/>
      <c r="AP33" s="369"/>
      <c r="AQ33" s="369"/>
      <c r="AR33" s="369"/>
      <c r="AS33" s="369"/>
      <c r="AT33" s="370"/>
    </row>
    <row r="34" spans="2:46" ht="14.25" customHeight="1" thickBot="1" x14ac:dyDescent="0.3">
      <c r="B34" s="123"/>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5"/>
    </row>
    <row r="35" spans="2:46" ht="18" customHeight="1" x14ac:dyDescent="0.25">
      <c r="B35" s="123"/>
      <c r="C35" s="263"/>
      <c r="D35" s="264"/>
      <c r="E35" s="264"/>
      <c r="F35" s="264"/>
      <c r="G35" s="264"/>
      <c r="H35" s="264"/>
      <c r="I35" s="264"/>
      <c r="J35" s="264"/>
      <c r="K35" s="264"/>
      <c r="L35" s="265"/>
      <c r="M35" s="124"/>
      <c r="N35" s="263"/>
      <c r="O35" s="264"/>
      <c r="P35" s="264"/>
      <c r="Q35" s="264"/>
      <c r="R35" s="264"/>
      <c r="S35" s="264"/>
      <c r="T35" s="264"/>
      <c r="U35" s="264"/>
      <c r="V35" s="264"/>
      <c r="W35" s="264"/>
      <c r="X35" s="264"/>
      <c r="Y35" s="264"/>
      <c r="Z35" s="264"/>
      <c r="AA35" s="264"/>
      <c r="AB35" s="265"/>
      <c r="AC35" s="124"/>
      <c r="AD35" s="263"/>
      <c r="AE35" s="264"/>
      <c r="AF35" s="264"/>
      <c r="AG35" s="264"/>
      <c r="AH35" s="264"/>
      <c r="AI35" s="264"/>
      <c r="AJ35" s="264"/>
      <c r="AK35" s="264"/>
      <c r="AL35" s="264"/>
      <c r="AM35" s="264"/>
      <c r="AN35" s="264"/>
      <c r="AO35" s="264"/>
      <c r="AP35" s="264"/>
      <c r="AQ35" s="264"/>
      <c r="AR35" s="264"/>
      <c r="AS35" s="265"/>
      <c r="AT35" s="125"/>
    </row>
    <row r="36" spans="2:46" ht="24" customHeight="1" x14ac:dyDescent="0.45">
      <c r="B36" s="123"/>
      <c r="C36" s="266"/>
      <c r="D36" s="267" t="s">
        <v>465</v>
      </c>
      <c r="E36" s="126"/>
      <c r="F36" s="126"/>
      <c r="G36" s="126"/>
      <c r="H36" s="126"/>
      <c r="I36" s="126"/>
      <c r="J36" s="126"/>
      <c r="K36" s="126"/>
      <c r="L36" s="268"/>
      <c r="M36" s="124"/>
      <c r="N36" s="266"/>
      <c r="O36" s="267" t="s">
        <v>453</v>
      </c>
      <c r="P36" s="126"/>
      <c r="Q36" s="126"/>
      <c r="R36" s="126"/>
      <c r="S36" s="126"/>
      <c r="T36" s="126"/>
      <c r="U36" s="126"/>
      <c r="V36" s="126"/>
      <c r="W36" s="126"/>
      <c r="X36" s="126"/>
      <c r="Y36" s="126"/>
      <c r="Z36" s="126"/>
      <c r="AA36" s="126"/>
      <c r="AB36" s="268"/>
      <c r="AC36" s="124"/>
      <c r="AD36" s="266"/>
      <c r="AE36" s="267" t="s">
        <v>452</v>
      </c>
      <c r="AF36" s="126"/>
      <c r="AG36" s="126"/>
      <c r="AH36" s="126"/>
      <c r="AI36" s="126"/>
      <c r="AJ36" s="126"/>
      <c r="AK36" s="126"/>
      <c r="AL36" s="126"/>
      <c r="AM36" s="126"/>
      <c r="AN36" s="126"/>
      <c r="AO36" s="126"/>
      <c r="AP36" s="126"/>
      <c r="AQ36" s="126"/>
      <c r="AR36" s="126"/>
      <c r="AS36" s="268"/>
      <c r="AT36" s="125"/>
    </row>
    <row r="37" spans="2:46" ht="17.25" customHeight="1" x14ac:dyDescent="0.25">
      <c r="B37" s="123"/>
      <c r="C37" s="266"/>
      <c r="D37" s="126"/>
      <c r="E37" s="126"/>
      <c r="F37" s="126"/>
      <c r="G37" s="126"/>
      <c r="H37" s="126"/>
      <c r="I37" s="126"/>
      <c r="J37" s="126"/>
      <c r="K37" s="126"/>
      <c r="L37" s="268"/>
      <c r="M37" s="124"/>
      <c r="N37" s="266"/>
      <c r="O37" s="126"/>
      <c r="P37" s="126"/>
      <c r="Q37" s="126"/>
      <c r="R37" s="126"/>
      <c r="S37" s="126"/>
      <c r="T37" s="126"/>
      <c r="U37" s="126"/>
      <c r="V37" s="126"/>
      <c r="W37" s="126"/>
      <c r="X37" s="126"/>
      <c r="Y37" s="126"/>
      <c r="Z37" s="126"/>
      <c r="AA37" s="126"/>
      <c r="AB37" s="268"/>
      <c r="AC37" s="124"/>
      <c r="AD37" s="266"/>
      <c r="AE37" s="126"/>
      <c r="AF37" s="126"/>
      <c r="AG37" s="126"/>
      <c r="AH37" s="126"/>
      <c r="AI37" s="126"/>
      <c r="AJ37" s="126"/>
      <c r="AK37" s="126"/>
      <c r="AL37" s="126"/>
      <c r="AM37" s="126"/>
      <c r="AN37" s="126"/>
      <c r="AO37" s="126"/>
      <c r="AP37" s="126"/>
      <c r="AQ37" s="126"/>
      <c r="AR37" s="126"/>
      <c r="AS37" s="268"/>
      <c r="AT37" s="125"/>
    </row>
    <row r="38" spans="2:46" ht="18" customHeight="1" x14ac:dyDescent="0.25">
      <c r="B38" s="123"/>
      <c r="C38" s="266"/>
      <c r="D38" s="126"/>
      <c r="E38" s="126"/>
      <c r="F38" s="126"/>
      <c r="G38" s="126"/>
      <c r="H38" s="126"/>
      <c r="I38" s="126"/>
      <c r="J38" s="126"/>
      <c r="K38" s="126"/>
      <c r="L38" s="268"/>
      <c r="M38" s="124"/>
      <c r="N38" s="266"/>
      <c r="O38" s="126"/>
      <c r="P38" s="126"/>
      <c r="Q38" s="126"/>
      <c r="R38" s="126"/>
      <c r="S38" s="126"/>
      <c r="T38" s="126"/>
      <c r="U38" s="126"/>
      <c r="V38" s="126"/>
      <c r="W38" s="126"/>
      <c r="X38" s="126"/>
      <c r="Y38" s="126"/>
      <c r="Z38" s="126"/>
      <c r="AA38" s="126"/>
      <c r="AB38" s="268"/>
      <c r="AC38" s="124"/>
      <c r="AD38" s="266"/>
      <c r="AE38" s="126"/>
      <c r="AF38" s="126"/>
      <c r="AG38" s="126"/>
      <c r="AH38" s="126"/>
      <c r="AI38" s="126"/>
      <c r="AJ38" s="126"/>
      <c r="AK38" s="126"/>
      <c r="AL38" s="126"/>
      <c r="AM38" s="126"/>
      <c r="AN38" s="126"/>
      <c r="AO38" s="126"/>
      <c r="AP38" s="126"/>
      <c r="AQ38" s="126"/>
      <c r="AR38" s="126"/>
      <c r="AS38" s="268"/>
      <c r="AT38" s="125"/>
    </row>
    <row r="39" spans="2:46" ht="18" customHeight="1" x14ac:dyDescent="0.25">
      <c r="B39" s="123"/>
      <c r="C39" s="266"/>
      <c r="D39" s="126"/>
      <c r="E39" s="126"/>
      <c r="F39" s="126"/>
      <c r="G39" s="126"/>
      <c r="H39" s="126"/>
      <c r="I39" s="126"/>
      <c r="J39" s="126"/>
      <c r="K39" s="126"/>
      <c r="L39" s="268"/>
      <c r="M39" s="124"/>
      <c r="N39" s="266"/>
      <c r="O39" s="126"/>
      <c r="P39" s="126"/>
      <c r="Q39" s="126"/>
      <c r="R39" s="126"/>
      <c r="S39" s="126"/>
      <c r="T39" s="126"/>
      <c r="U39" s="126"/>
      <c r="V39" s="126"/>
      <c r="W39" s="126"/>
      <c r="X39" s="126"/>
      <c r="Y39" s="126"/>
      <c r="Z39" s="126"/>
      <c r="AA39" s="126"/>
      <c r="AB39" s="268"/>
      <c r="AC39" s="124"/>
      <c r="AD39" s="266"/>
      <c r="AE39" s="126"/>
      <c r="AF39" s="126"/>
      <c r="AG39" s="126"/>
      <c r="AH39" s="126"/>
      <c r="AI39" s="126"/>
      <c r="AJ39" s="126"/>
      <c r="AK39" s="126"/>
      <c r="AL39" s="126"/>
      <c r="AM39" s="126"/>
      <c r="AN39" s="126"/>
      <c r="AO39" s="126"/>
      <c r="AP39" s="126"/>
      <c r="AQ39" s="126"/>
      <c r="AR39" s="126"/>
      <c r="AS39" s="268"/>
      <c r="AT39" s="125"/>
    </row>
    <row r="40" spans="2:46" ht="27" customHeight="1" x14ac:dyDescent="0.25">
      <c r="B40" s="123"/>
      <c r="C40" s="266"/>
      <c r="D40" s="282" t="s">
        <v>140</v>
      </c>
      <c r="E40" s="283"/>
      <c r="F40" s="284"/>
      <c r="G40" s="283"/>
      <c r="H40" s="126"/>
      <c r="I40" s="126"/>
      <c r="J40" s="126"/>
      <c r="K40" s="126"/>
      <c r="L40" s="268"/>
      <c r="M40" s="124"/>
      <c r="N40" s="266"/>
      <c r="O40" s="356" t="s">
        <v>189</v>
      </c>
      <c r="P40" s="126"/>
      <c r="Q40" s="126"/>
      <c r="R40" s="126"/>
      <c r="S40" s="126"/>
      <c r="T40" s="366" t="s">
        <v>186</v>
      </c>
      <c r="U40" s="356"/>
      <c r="V40" s="126"/>
      <c r="W40" s="126"/>
      <c r="X40" s="126"/>
      <c r="Y40" s="366" t="s">
        <v>187</v>
      </c>
      <c r="Z40" s="356"/>
      <c r="AA40" s="276" t="s">
        <v>188</v>
      </c>
      <c r="AB40" s="268"/>
      <c r="AC40" s="124"/>
      <c r="AD40" s="266"/>
      <c r="AE40" s="356" t="s">
        <v>323</v>
      </c>
      <c r="AF40" s="126"/>
      <c r="AG40" s="126"/>
      <c r="AH40" s="356"/>
      <c r="AI40" s="126"/>
      <c r="AJ40" s="126"/>
      <c r="AK40" s="366" t="s">
        <v>186</v>
      </c>
      <c r="AL40" s="356"/>
      <c r="AM40" s="126"/>
      <c r="AN40" s="366" t="s">
        <v>187</v>
      </c>
      <c r="AO40" s="126"/>
      <c r="AP40" s="366" t="s">
        <v>188</v>
      </c>
      <c r="AQ40" s="126"/>
      <c r="AR40" s="126"/>
      <c r="AS40" s="268"/>
      <c r="AT40" s="125"/>
    </row>
    <row r="41" spans="2:46" ht="18" customHeight="1" x14ac:dyDescent="0.35">
      <c r="B41" s="123"/>
      <c r="C41" s="266"/>
      <c r="D41" s="269" t="s">
        <v>289</v>
      </c>
      <c r="E41" s="270">
        <f>IF(H13&lt;500,Grøft!F69,Grøft!F75)</f>
        <v>6186.8861878641592</v>
      </c>
      <c r="F41" s="126" t="s">
        <v>445</v>
      </c>
      <c r="G41" s="274">
        <f>IF(H13&lt;500,Grøft!G69,Grøft!G75)</f>
        <v>0.90319506392177507</v>
      </c>
      <c r="H41" s="126"/>
      <c r="I41" s="126"/>
      <c r="J41" s="126"/>
      <c r="K41" s="126"/>
      <c r="L41" s="268"/>
      <c r="M41" s="124"/>
      <c r="N41" s="266"/>
      <c r="O41" s="126" t="s">
        <v>240</v>
      </c>
      <c r="P41" s="126"/>
      <c r="Q41" s="126"/>
      <c r="R41" s="126"/>
      <c r="S41" s="126"/>
      <c r="T41" s="355">
        <f>Kostnader!D34</f>
        <v>0</v>
      </c>
      <c r="U41" s="126"/>
      <c r="V41" s="126"/>
      <c r="W41" s="126"/>
      <c r="X41" s="126"/>
      <c r="Y41" s="355">
        <f>Kostnader!E34</f>
        <v>23375</v>
      </c>
      <c r="Z41" s="126"/>
      <c r="AA41" s="355">
        <f>Kostnader!F34</f>
        <v>155358.23647056884</v>
      </c>
      <c r="AB41" s="268"/>
      <c r="AC41" s="124"/>
      <c r="AD41" s="266"/>
      <c r="AE41" s="126" t="s">
        <v>321</v>
      </c>
      <c r="AF41" s="126"/>
      <c r="AG41" s="126"/>
      <c r="AH41" s="126"/>
      <c r="AI41" s="427" t="s">
        <v>447</v>
      </c>
      <c r="AJ41" s="126"/>
      <c r="AK41" s="426">
        <f>Klimagassberegninger!R34</f>
        <v>0</v>
      </c>
      <c r="AL41" s="427"/>
      <c r="AM41" s="126"/>
      <c r="AN41" s="426">
        <f>Klimagassberegninger!R45</f>
        <v>415.01249999999999</v>
      </c>
      <c r="AO41" s="126"/>
      <c r="AP41" s="426">
        <f>Klimagassberegninger!R56</f>
        <v>2758.314871154736</v>
      </c>
      <c r="AQ41" s="126"/>
      <c r="AR41" s="126"/>
      <c r="AS41" s="268"/>
      <c r="AT41" s="125"/>
    </row>
    <row r="42" spans="2:46" ht="18" customHeight="1" x14ac:dyDescent="0.35">
      <c r="B42" s="123"/>
      <c r="C42" s="266"/>
      <c r="D42" s="126" t="s">
        <v>290</v>
      </c>
      <c r="E42" s="270">
        <f>IF(H13&lt;500,Grøft!F70,Grøft!F76)</f>
        <v>479.93904171115946</v>
      </c>
      <c r="F42" s="126" t="s">
        <v>445</v>
      </c>
      <c r="G42" s="274">
        <f>IF(H13&lt;500,Grøft!G70,Grøft!G76)</f>
        <v>7.0064093680461237E-2</v>
      </c>
      <c r="H42" s="126"/>
      <c r="I42" s="126"/>
      <c r="J42" s="126"/>
      <c r="K42" s="126"/>
      <c r="L42" s="268"/>
      <c r="M42" s="124"/>
      <c r="N42" s="266"/>
      <c r="O42" s="126" t="s">
        <v>241</v>
      </c>
      <c r="P42" s="126"/>
      <c r="Q42" s="126"/>
      <c r="R42" s="126"/>
      <c r="S42" s="126"/>
      <c r="T42" s="355">
        <f>Kostnader!D35</f>
        <v>19634.954084936206</v>
      </c>
      <c r="U42" s="126"/>
      <c r="V42" s="126"/>
      <c r="W42" s="126"/>
      <c r="X42" s="126"/>
      <c r="Y42" s="355">
        <f>Kostnader!E35</f>
        <v>36634.954084936202</v>
      </c>
      <c r="Z42" s="126"/>
      <c r="AA42" s="355">
        <f>Kostnader!F35</f>
        <v>132622.76242716811</v>
      </c>
      <c r="AB42" s="268"/>
      <c r="AC42" s="124"/>
      <c r="AD42" s="266"/>
      <c r="AE42" s="126" t="s">
        <v>300</v>
      </c>
      <c r="AF42" s="126"/>
      <c r="AG42" s="126"/>
      <c r="AH42" s="126"/>
      <c r="AI42" s="427" t="s">
        <v>447</v>
      </c>
      <c r="AJ42" s="126"/>
      <c r="AK42" s="426">
        <f>Klimagassberegninger!R35</f>
        <v>82.938234550329781</v>
      </c>
      <c r="AL42" s="427"/>
      <c r="AM42" s="126"/>
      <c r="AN42" s="426">
        <f>Klimagassberegninger!R46</f>
        <v>154.74639775032978</v>
      </c>
      <c r="AO42" s="126"/>
      <c r="AP42" s="426">
        <f>Klimagassberegninger!R57</f>
        <v>560.19982167087755</v>
      </c>
      <c r="AQ42" s="126"/>
      <c r="AR42" s="126"/>
      <c r="AS42" s="268"/>
      <c r="AT42" s="125"/>
    </row>
    <row r="43" spans="2:46" ht="18" customHeight="1" x14ac:dyDescent="0.35">
      <c r="B43" s="123"/>
      <c r="C43" s="266"/>
      <c r="D43" s="126" t="s">
        <v>291</v>
      </c>
      <c r="E43" s="270">
        <f>Grøft!F71</f>
        <v>85</v>
      </c>
      <c r="F43" s="126" t="s">
        <v>445</v>
      </c>
      <c r="G43" s="275">
        <f>Grøft!G71</f>
        <v>1.2408759124087591E-2</v>
      </c>
      <c r="H43" s="126"/>
      <c r="I43" s="126"/>
      <c r="J43" s="126"/>
      <c r="K43" s="126"/>
      <c r="L43" s="268"/>
      <c r="M43" s="124"/>
      <c r="N43" s="266"/>
      <c r="O43" s="126" t="s">
        <v>198</v>
      </c>
      <c r="P43" s="126"/>
      <c r="Q43" s="126"/>
      <c r="R43" s="126"/>
      <c r="S43" s="126"/>
      <c r="T43" s="355">
        <f>Kostnader!D36</f>
        <v>29733.633774271551</v>
      </c>
      <c r="U43" s="126"/>
      <c r="V43" s="126"/>
      <c r="W43" s="126"/>
      <c r="X43" s="126"/>
      <c r="Y43" s="355">
        <f>Kostnader!E36</f>
        <v>25259.949563745235</v>
      </c>
      <c r="Z43" s="126"/>
      <c r="AA43" s="355">
        <f>Kostnader!F36</f>
        <v>0</v>
      </c>
      <c r="AB43" s="268"/>
      <c r="AC43" s="124"/>
      <c r="AD43" s="266"/>
      <c r="AE43" s="126" t="s">
        <v>301</v>
      </c>
      <c r="AF43" s="126"/>
      <c r="AG43" s="126"/>
      <c r="AH43" s="126"/>
      <c r="AI43" s="427" t="s">
        <v>447</v>
      </c>
      <c r="AJ43" s="126"/>
      <c r="AK43" s="426">
        <f>Klimagassberegninger!R36</f>
        <v>0</v>
      </c>
      <c r="AL43" s="427"/>
      <c r="AM43" s="126"/>
      <c r="AN43" s="426">
        <f>Klimagassberegninger!R47</f>
        <v>69.564158100000014</v>
      </c>
      <c r="AO43" s="126"/>
      <c r="AP43" s="426">
        <f>Klimagassberegninger!R58</f>
        <v>462.34716252303059</v>
      </c>
      <c r="AQ43" s="126"/>
      <c r="AR43" s="126"/>
      <c r="AS43" s="268"/>
      <c r="AT43" s="125"/>
    </row>
    <row r="44" spans="2:46" ht="18" customHeight="1" x14ac:dyDescent="0.35">
      <c r="B44" s="123"/>
      <c r="C44" s="266"/>
      <c r="D44" s="283" t="s">
        <v>292</v>
      </c>
      <c r="E44" s="285">
        <f>Grøft!H48</f>
        <v>98.174770424681029</v>
      </c>
      <c r="F44" s="283" t="s">
        <v>445</v>
      </c>
      <c r="G44" s="286">
        <f>Grøft!J48</f>
        <v>1.4332083273676063E-2</v>
      </c>
      <c r="H44" s="126"/>
      <c r="I44" s="126"/>
      <c r="J44" s="126"/>
      <c r="K44" s="126"/>
      <c r="L44" s="268"/>
      <c r="M44" s="124"/>
      <c r="N44" s="266"/>
      <c r="O44" s="126" t="s">
        <v>201</v>
      </c>
      <c r="P44" s="126"/>
      <c r="Q44" s="126"/>
      <c r="R44" s="126"/>
      <c r="S44" s="126"/>
      <c r="T44" s="355">
        <f>Kostnader!D38</f>
        <v>0</v>
      </c>
      <c r="U44" s="126"/>
      <c r="V44" s="126"/>
      <c r="W44" s="126"/>
      <c r="X44" s="126"/>
      <c r="Y44" s="355">
        <f>Kostnader!E38</f>
        <v>0</v>
      </c>
      <c r="Z44" s="126"/>
      <c r="AA44" s="355">
        <f>Kostnader!F38</f>
        <v>0</v>
      </c>
      <c r="AB44" s="268"/>
      <c r="AC44" s="124"/>
      <c r="AD44" s="266"/>
      <c r="AE44" s="126" t="s">
        <v>198</v>
      </c>
      <c r="AF44" s="126"/>
      <c r="AG44" s="126"/>
      <c r="AH44" s="126"/>
      <c r="AI44" s="427" t="s">
        <v>447</v>
      </c>
      <c r="AJ44" s="126"/>
      <c r="AK44" s="426">
        <f>Klimagassberegninger!R38</f>
        <v>500.95226182892713</v>
      </c>
      <c r="AL44" s="427"/>
      <c r="AM44" s="126"/>
      <c r="AN44" s="426">
        <f>Klimagassberegninger!R49</f>
        <v>425.57963024997974</v>
      </c>
      <c r="AO44" s="126"/>
      <c r="AP44" s="426">
        <f>Klimagassberegninger!R60</f>
        <v>0</v>
      </c>
      <c r="AQ44" s="126"/>
      <c r="AR44" s="126"/>
      <c r="AS44" s="268"/>
      <c r="AT44" s="125"/>
    </row>
    <row r="45" spans="2:46" ht="18" customHeight="1" x14ac:dyDescent="0.35">
      <c r="B45" s="123"/>
      <c r="C45" s="266"/>
      <c r="D45" s="287"/>
      <c r="E45" s="287"/>
      <c r="F45" s="288"/>
      <c r="G45" s="289">
        <f>SUM(G41:G44)</f>
        <v>0.99999999999999989</v>
      </c>
      <c r="H45" s="126"/>
      <c r="I45" s="126"/>
      <c r="J45" s="126"/>
      <c r="K45" s="126"/>
      <c r="L45" s="268"/>
      <c r="M45" s="124"/>
      <c r="N45" s="266"/>
      <c r="O45" s="126" t="s">
        <v>431</v>
      </c>
      <c r="P45" s="126"/>
      <c r="Q45" s="126"/>
      <c r="R45" s="126"/>
      <c r="S45" s="126"/>
      <c r="T45" s="355">
        <f>Kostnader!D39</f>
        <v>9873.7175718415529</v>
      </c>
      <c r="U45" s="126"/>
      <c r="V45" s="126"/>
      <c r="W45" s="126"/>
      <c r="X45" s="126"/>
      <c r="Y45" s="355">
        <f>Kostnader!E39</f>
        <v>17053.98072973629</v>
      </c>
      <c r="Z45" s="126"/>
      <c r="AA45" s="355">
        <f>Kostnader!F39</f>
        <v>57596.199779547394</v>
      </c>
      <c r="AB45" s="268"/>
      <c r="AC45" s="124"/>
      <c r="AD45" s="266"/>
      <c r="AE45" s="126" t="s">
        <v>260</v>
      </c>
      <c r="AF45" s="126"/>
      <c r="AG45" s="126"/>
      <c r="AH45" s="126"/>
      <c r="AI45" s="427" t="s">
        <v>447</v>
      </c>
      <c r="AJ45" s="126"/>
      <c r="AK45" s="426">
        <f>Klimagassberegninger!R37</f>
        <v>0</v>
      </c>
      <c r="AL45" s="427"/>
      <c r="AM45" s="126"/>
      <c r="AN45" s="426">
        <f>Klimagassberegninger!R48</f>
        <v>0</v>
      </c>
      <c r="AO45" s="126"/>
      <c r="AP45" s="426">
        <f>Klimagassberegninger!R59</f>
        <v>0</v>
      </c>
      <c r="AQ45" s="126"/>
      <c r="AR45" s="126"/>
      <c r="AS45" s="268"/>
      <c r="AT45" s="125"/>
    </row>
    <row r="46" spans="2:46" ht="18" customHeight="1" x14ac:dyDescent="0.35">
      <c r="B46" s="123"/>
      <c r="C46" s="266"/>
      <c r="D46" s="126"/>
      <c r="E46" s="126"/>
      <c r="F46" s="126"/>
      <c r="G46" s="126"/>
      <c r="H46" s="126"/>
      <c r="I46" s="126"/>
      <c r="J46" s="126"/>
      <c r="K46" s="126"/>
      <c r="L46" s="268"/>
      <c r="M46" s="124"/>
      <c r="N46" s="266"/>
      <c r="O46" s="126" t="s">
        <v>255</v>
      </c>
      <c r="P46" s="126"/>
      <c r="Q46" s="126"/>
      <c r="R46" s="126"/>
      <c r="S46" s="126"/>
      <c r="T46" s="355">
        <f>Kostnader!D41</f>
        <v>59242.30543104931</v>
      </c>
      <c r="U46" s="126"/>
      <c r="V46" s="126"/>
      <c r="W46" s="126"/>
      <c r="X46" s="126"/>
      <c r="Y46" s="355">
        <f>Kostnader!E41</f>
        <v>102323.88437841773</v>
      </c>
      <c r="Z46" s="126"/>
      <c r="AA46" s="355">
        <f>Kostnader!F41</f>
        <v>345577.19867728435</v>
      </c>
      <c r="AB46" s="268"/>
      <c r="AC46" s="124"/>
      <c r="AD46" s="266"/>
      <c r="AE46" s="356" t="s">
        <v>255</v>
      </c>
      <c r="AF46" s="126"/>
      <c r="AG46" s="126"/>
      <c r="AH46" s="356"/>
      <c r="AI46" s="429" t="s">
        <v>448</v>
      </c>
      <c r="AJ46" s="126"/>
      <c r="AK46" s="428">
        <f>Klimagassberegninger!R39</f>
        <v>583.89049637925689</v>
      </c>
      <c r="AL46" s="429"/>
      <c r="AM46" s="126"/>
      <c r="AN46" s="428">
        <f>Klimagassberegninger!R50</f>
        <v>1064.9026861003094</v>
      </c>
      <c r="AO46" s="126"/>
      <c r="AP46" s="428">
        <f>Klimagassberegninger!R61</f>
        <v>3780.861855348644</v>
      </c>
      <c r="AQ46" s="126"/>
      <c r="AR46" s="126"/>
      <c r="AS46" s="268"/>
      <c r="AT46" s="125"/>
    </row>
    <row r="47" spans="2:46" ht="18" customHeight="1" x14ac:dyDescent="0.25">
      <c r="B47" s="123"/>
      <c r="C47" s="266"/>
      <c r="D47" s="126"/>
      <c r="E47" s="126"/>
      <c r="F47" s="126"/>
      <c r="G47" s="126"/>
      <c r="H47" s="126"/>
      <c r="I47" s="126"/>
      <c r="J47" s="126"/>
      <c r="K47" s="126"/>
      <c r="L47" s="268"/>
      <c r="M47" s="124"/>
      <c r="N47" s="266"/>
      <c r="O47" s="377" t="s">
        <v>324</v>
      </c>
      <c r="P47" s="126"/>
      <c r="Q47" s="126"/>
      <c r="R47" s="126"/>
      <c r="S47" s="126"/>
      <c r="T47" s="357">
        <f>T46/H17</f>
        <v>118.48461086209862</v>
      </c>
      <c r="U47" s="377"/>
      <c r="V47" s="126"/>
      <c r="W47" s="126"/>
      <c r="X47" s="126"/>
      <c r="Y47" s="357">
        <f>Y46/H17</f>
        <v>204.64776875683546</v>
      </c>
      <c r="Z47" s="377"/>
      <c r="AA47" s="357">
        <f>AA46/H17</f>
        <v>691.15439735456869</v>
      </c>
      <c r="AB47" s="268"/>
      <c r="AC47" s="124"/>
      <c r="AD47" s="266"/>
      <c r="AE47" s="126"/>
      <c r="AF47" s="126"/>
      <c r="AG47" s="126"/>
      <c r="AH47" s="126"/>
      <c r="AI47" s="126"/>
      <c r="AJ47" s="126"/>
      <c r="AK47" s="126"/>
      <c r="AL47" s="126"/>
      <c r="AM47" s="126"/>
      <c r="AN47" s="126"/>
      <c r="AO47" s="126"/>
      <c r="AP47" s="126"/>
      <c r="AQ47" s="126"/>
      <c r="AR47" s="126"/>
      <c r="AS47" s="268"/>
      <c r="AT47" s="125"/>
    </row>
    <row r="48" spans="2:46" ht="18" customHeight="1" x14ac:dyDescent="0.25">
      <c r="B48" s="123"/>
      <c r="C48" s="266"/>
      <c r="D48" s="126"/>
      <c r="E48" s="126"/>
      <c r="F48" s="126"/>
      <c r="G48" s="126"/>
      <c r="H48" s="126"/>
      <c r="I48" s="126"/>
      <c r="J48" s="126"/>
      <c r="K48" s="126"/>
      <c r="L48" s="268"/>
      <c r="M48" s="124"/>
      <c r="N48" s="266"/>
      <c r="O48" s="126"/>
      <c r="P48" s="126"/>
      <c r="Q48" s="126"/>
      <c r="R48" s="126"/>
      <c r="S48" s="126"/>
      <c r="T48" s="126"/>
      <c r="U48" s="126"/>
      <c r="V48" s="126"/>
      <c r="W48" s="126"/>
      <c r="X48" s="126"/>
      <c r="Y48" s="126"/>
      <c r="Z48" s="126"/>
      <c r="AA48" s="126"/>
      <c r="AB48" s="268"/>
      <c r="AC48" s="124"/>
      <c r="AD48" s="266"/>
      <c r="AE48" s="126"/>
      <c r="AF48" s="126"/>
      <c r="AG48" s="126"/>
      <c r="AH48" s="126"/>
      <c r="AI48" s="126"/>
      <c r="AJ48" s="126"/>
      <c r="AK48" s="126"/>
      <c r="AL48" s="126"/>
      <c r="AM48" s="126"/>
      <c r="AN48" s="126"/>
      <c r="AO48" s="126"/>
      <c r="AP48" s="126"/>
      <c r="AQ48" s="126"/>
      <c r="AR48" s="126"/>
      <c r="AS48" s="268"/>
      <c r="AT48" s="125"/>
    </row>
    <row r="49" spans="2:46" ht="18" customHeight="1" thickBot="1" x14ac:dyDescent="0.3">
      <c r="B49" s="123"/>
      <c r="C49" s="281"/>
      <c r="D49" s="126"/>
      <c r="E49" s="126"/>
      <c r="F49" s="126"/>
      <c r="G49" s="126"/>
      <c r="H49" s="126"/>
      <c r="I49" s="126"/>
      <c r="J49" s="126"/>
      <c r="K49" s="126"/>
      <c r="L49" s="268"/>
      <c r="M49" s="124"/>
      <c r="N49" s="271"/>
      <c r="O49" s="272"/>
      <c r="P49" s="272"/>
      <c r="Q49" s="272"/>
      <c r="R49" s="272"/>
      <c r="S49" s="272"/>
      <c r="T49" s="272"/>
      <c r="U49" s="272"/>
      <c r="V49" s="272"/>
      <c r="W49" s="272"/>
      <c r="X49" s="272"/>
      <c r="Y49" s="272"/>
      <c r="Z49" s="272"/>
      <c r="AA49" s="272"/>
      <c r="AB49" s="273"/>
      <c r="AC49" s="124"/>
      <c r="AD49" s="271"/>
      <c r="AE49" s="272"/>
      <c r="AF49" s="272"/>
      <c r="AG49" s="272"/>
      <c r="AH49" s="272"/>
      <c r="AI49" s="272"/>
      <c r="AJ49" s="272"/>
      <c r="AK49" s="272"/>
      <c r="AL49" s="272"/>
      <c r="AM49" s="272"/>
      <c r="AN49" s="272"/>
      <c r="AO49" s="272"/>
      <c r="AP49" s="272"/>
      <c r="AQ49" s="272"/>
      <c r="AR49" s="272"/>
      <c r="AS49" s="273"/>
      <c r="AT49" s="125"/>
    </row>
    <row r="50" spans="2:46" ht="18" customHeight="1" thickBot="1" x14ac:dyDescent="0.3">
      <c r="B50" s="123"/>
      <c r="C50" s="266"/>
      <c r="D50" s="282" t="s">
        <v>288</v>
      </c>
      <c r="E50" s="283"/>
      <c r="F50" s="358" t="s">
        <v>186</v>
      </c>
      <c r="G50" s="283"/>
      <c r="H50" s="358" t="s">
        <v>187</v>
      </c>
      <c r="I50" s="283"/>
      <c r="J50" s="358" t="s">
        <v>188</v>
      </c>
      <c r="K50" s="283"/>
      <c r="L50" s="268"/>
      <c r="M50" s="124"/>
      <c r="N50" s="124"/>
      <c r="O50" s="124"/>
      <c r="P50" s="495"/>
      <c r="Q50" s="495"/>
      <c r="R50" s="496"/>
      <c r="S50" s="495"/>
      <c r="T50" s="496"/>
      <c r="U50" s="495"/>
      <c r="V50" s="496"/>
      <c r="W50" s="124"/>
      <c r="X50" s="497"/>
      <c r="Y50" s="497"/>
      <c r="Z50" s="124"/>
      <c r="AA50" s="124"/>
      <c r="AB50" s="124"/>
      <c r="AC50" s="124"/>
      <c r="AD50" s="124"/>
      <c r="AE50" s="124"/>
      <c r="AF50" s="124"/>
      <c r="AG50" s="124"/>
      <c r="AH50" s="124"/>
      <c r="AI50" s="124"/>
      <c r="AJ50" s="124"/>
      <c r="AK50" s="124"/>
      <c r="AL50" s="124"/>
      <c r="AM50" s="124"/>
      <c r="AN50" s="124"/>
      <c r="AO50" s="124"/>
      <c r="AP50" s="124"/>
      <c r="AQ50" s="124"/>
      <c r="AR50" s="124"/>
      <c r="AS50" s="124"/>
      <c r="AT50" s="125"/>
    </row>
    <row r="51" spans="2:46" ht="18" customHeight="1" x14ac:dyDescent="0.25">
      <c r="B51" s="123"/>
      <c r="C51" s="266"/>
      <c r="D51" s="126" t="s">
        <v>282</v>
      </c>
      <c r="E51" s="126" t="s">
        <v>445</v>
      </c>
      <c r="F51" s="359">
        <f>Grøft!H46</f>
        <v>6850</v>
      </c>
      <c r="G51" s="277">
        <f>Grøft!J46</f>
        <v>1</v>
      </c>
      <c r="H51" s="359">
        <f>Grøft!H46</f>
        <v>6850</v>
      </c>
      <c r="I51" s="277">
        <f>Grøft!J46</f>
        <v>1</v>
      </c>
      <c r="J51" s="359">
        <f>Grøft!H46</f>
        <v>6850</v>
      </c>
      <c r="K51" s="275">
        <f>Grøft!J46</f>
        <v>1</v>
      </c>
      <c r="L51" s="278"/>
      <c r="M51" s="124"/>
      <c r="N51" s="263"/>
      <c r="O51" s="264"/>
      <c r="P51" s="264"/>
      <c r="Q51" s="264"/>
      <c r="R51" s="264"/>
      <c r="S51" s="264"/>
      <c r="T51" s="264"/>
      <c r="U51" s="264"/>
      <c r="V51" s="264"/>
      <c r="W51" s="264"/>
      <c r="X51" s="264"/>
      <c r="Y51" s="264"/>
      <c r="Z51" s="264"/>
      <c r="AA51" s="264"/>
      <c r="AB51" s="265"/>
      <c r="AC51" s="124"/>
      <c r="AD51" s="263"/>
      <c r="AE51" s="264"/>
      <c r="AF51" s="264"/>
      <c r="AG51" s="264"/>
      <c r="AH51" s="264"/>
      <c r="AI51" s="264"/>
      <c r="AJ51" s="264"/>
      <c r="AK51" s="264"/>
      <c r="AL51" s="264"/>
      <c r="AM51" s="264"/>
      <c r="AN51" s="264"/>
      <c r="AO51" s="264"/>
      <c r="AP51" s="264"/>
      <c r="AQ51" s="264"/>
      <c r="AR51" s="264"/>
      <c r="AS51" s="265"/>
      <c r="AT51" s="125"/>
    </row>
    <row r="52" spans="2:46" ht="18" customHeight="1" x14ac:dyDescent="0.45">
      <c r="B52" s="123"/>
      <c r="C52" s="266"/>
      <c r="D52" s="126" t="s">
        <v>293</v>
      </c>
      <c r="E52" s="126" t="s">
        <v>445</v>
      </c>
      <c r="F52" s="359">
        <f>Grøft!H48</f>
        <v>98.174770424681029</v>
      </c>
      <c r="G52" s="277">
        <f>Grøft!J48</f>
        <v>1.4332083273676063E-2</v>
      </c>
      <c r="H52" s="360">
        <f>Grøft!H48</f>
        <v>98.174770424681029</v>
      </c>
      <c r="I52" s="275">
        <f>Grøft!J48</f>
        <v>1.4332083273676063E-2</v>
      </c>
      <c r="J52" s="359">
        <f>Grøft!H48</f>
        <v>98.174770424681029</v>
      </c>
      <c r="K52" s="275">
        <f>Grøft!J48</f>
        <v>1.4332083273676063E-2</v>
      </c>
      <c r="L52" s="278"/>
      <c r="M52" s="124"/>
      <c r="N52" s="266"/>
      <c r="O52" s="267" t="s">
        <v>440</v>
      </c>
      <c r="P52" s="126"/>
      <c r="Q52" s="126"/>
      <c r="R52" s="126"/>
      <c r="S52" s="126"/>
      <c r="T52" s="126"/>
      <c r="U52" s="126"/>
      <c r="V52" s="126"/>
      <c r="W52" s="126"/>
      <c r="X52" s="126"/>
      <c r="Y52" s="126"/>
      <c r="Z52" s="126"/>
      <c r="AA52" s="126"/>
      <c r="AB52" s="268"/>
      <c r="AC52" s="124"/>
      <c r="AD52" s="266"/>
      <c r="AE52" s="267" t="s">
        <v>454</v>
      </c>
      <c r="AF52" s="126"/>
      <c r="AG52" s="126"/>
      <c r="AH52" s="126"/>
      <c r="AI52" s="126"/>
      <c r="AJ52" s="126"/>
      <c r="AK52" s="126"/>
      <c r="AL52" s="126"/>
      <c r="AM52" s="126"/>
      <c r="AN52" s="126"/>
      <c r="AO52" s="126"/>
      <c r="AP52" s="126"/>
      <c r="AQ52" s="126"/>
      <c r="AR52" s="126"/>
      <c r="AS52" s="268"/>
      <c r="AT52" s="125"/>
    </row>
    <row r="53" spans="2:46" ht="18" customHeight="1" x14ac:dyDescent="0.25">
      <c r="B53" s="123"/>
      <c r="C53" s="266"/>
      <c r="D53" s="126" t="s">
        <v>283</v>
      </c>
      <c r="E53" s="126" t="s">
        <v>445</v>
      </c>
      <c r="F53" s="354">
        <f>Grøft!F85</f>
        <v>0</v>
      </c>
      <c r="G53" s="277">
        <f>Grøft!G85</f>
        <v>0</v>
      </c>
      <c r="H53" s="360">
        <f>IF(H13&lt;Grøft!H56,Grøft!H85,Grøft!H92)</f>
        <v>85</v>
      </c>
      <c r="I53" s="275">
        <f>IF(H13&lt;Grøft!H56,Grøft!I85,Grøft!I92)</f>
        <v>1.2408759124087591E-2</v>
      </c>
      <c r="J53" s="359">
        <f>IF(H13&lt;Grøft!H56,Grøft!J85,Grøft!J92)</f>
        <v>564.93904171115946</v>
      </c>
      <c r="K53" s="275">
        <f>IF(H13&lt;Grøft!H56,Grøft!K85,Grøft!K92)</f>
        <v>8.247285280454883E-2</v>
      </c>
      <c r="L53" s="278"/>
      <c r="M53" s="124"/>
      <c r="N53" s="266"/>
      <c r="O53" s="126"/>
      <c r="P53" s="126"/>
      <c r="Q53" s="126"/>
      <c r="R53" s="126"/>
      <c r="S53" s="126"/>
      <c r="T53" s="126"/>
      <c r="U53" s="126"/>
      <c r="V53" s="126"/>
      <c r="W53" s="126"/>
      <c r="X53" s="126"/>
      <c r="Y53" s="126"/>
      <c r="Z53" s="126"/>
      <c r="AA53" s="126"/>
      <c r="AB53" s="268"/>
      <c r="AC53" s="124"/>
      <c r="AD53" s="340"/>
      <c r="AE53" s="126"/>
      <c r="AF53" s="126"/>
      <c r="AG53" s="126"/>
      <c r="AH53" s="126"/>
      <c r="AI53" s="126"/>
      <c r="AJ53" s="126"/>
      <c r="AK53" s="126"/>
      <c r="AL53" s="126"/>
      <c r="AM53" s="126"/>
      <c r="AN53" s="126"/>
      <c r="AO53" s="126"/>
      <c r="AP53" s="126"/>
      <c r="AQ53" s="126"/>
      <c r="AR53" s="126"/>
      <c r="AS53" s="268"/>
      <c r="AT53" s="125"/>
    </row>
    <row r="54" spans="2:46" ht="18" customHeight="1" x14ac:dyDescent="0.25">
      <c r="B54" s="123"/>
      <c r="C54" s="266"/>
      <c r="D54" s="126" t="s">
        <v>281</v>
      </c>
      <c r="E54" s="126" t="s">
        <v>445</v>
      </c>
      <c r="F54" s="359">
        <f>IF(H13&lt;Grøft!H56,Grøft!F82,Grøft!F89)</f>
        <v>98.174770424681029</v>
      </c>
      <c r="G54" s="277">
        <f>IF(H13&lt;Grøft!H56,Grøft!G82,Grøft!G89)</f>
        <v>1.4332083273676063E-2</v>
      </c>
      <c r="H54" s="360">
        <f>IF(H13&lt;Grøft!H56,Grøft!H82,Grøft!H89)</f>
        <v>183.17477042468101</v>
      </c>
      <c r="I54" s="275">
        <f>IF(H13&lt;Grøft!H56,Grøft!I82,Grøft!I89)</f>
        <v>2.6740842397763656E-2</v>
      </c>
      <c r="J54" s="359">
        <f>IF(H13&lt;Grøft!H56,Grøft!J82,Grøft!J89)</f>
        <v>663.11381213584059</v>
      </c>
      <c r="K54" s="275">
        <f>IF(H13&lt;Grøft!H56,Grøft!K82,Grøft!K89)</f>
        <v>9.6804936078224907E-2</v>
      </c>
      <c r="L54" s="268"/>
      <c r="M54" s="124"/>
      <c r="N54" s="266"/>
      <c r="O54" s="126"/>
      <c r="P54" s="126"/>
      <c r="Q54" s="126"/>
      <c r="R54" s="126"/>
      <c r="S54" s="126"/>
      <c r="T54" s="126"/>
      <c r="U54" s="126"/>
      <c r="V54" s="126"/>
      <c r="W54" s="126"/>
      <c r="X54" s="126"/>
      <c r="Y54" s="126"/>
      <c r="Z54" s="126"/>
      <c r="AA54" s="126"/>
      <c r="AB54" s="268"/>
      <c r="AC54" s="124"/>
      <c r="AD54" s="266"/>
      <c r="AE54" s="126"/>
      <c r="AF54" s="126"/>
      <c r="AG54" s="126"/>
      <c r="AH54" s="126"/>
      <c r="AI54" s="126"/>
      <c r="AJ54" s="126"/>
      <c r="AK54" s="126"/>
      <c r="AL54" s="126"/>
      <c r="AM54" s="126"/>
      <c r="AN54" s="126"/>
      <c r="AO54" s="126"/>
      <c r="AP54" s="126"/>
      <c r="AQ54" s="126"/>
      <c r="AR54" s="126"/>
      <c r="AS54" s="268"/>
      <c r="AT54" s="125"/>
    </row>
    <row r="55" spans="2:46" ht="18" customHeight="1" x14ac:dyDescent="0.25">
      <c r="B55" s="123"/>
      <c r="C55" s="266"/>
      <c r="D55" s="126" t="s">
        <v>296</v>
      </c>
      <c r="E55" s="126" t="s">
        <v>445</v>
      </c>
      <c r="F55" s="359">
        <f>IF('Input og output'!H13&lt;Grøft!H56,Grøft!F84,Grøft!F91)</f>
        <v>564.93904171115946</v>
      </c>
      <c r="G55" s="277">
        <f>IF(H13&lt;Grøft!H56,Grøft!G84,Grøft!G91)</f>
        <v>8.247285280454883E-2</v>
      </c>
      <c r="H55" s="360">
        <f>IF(H13&lt;Grøft!H56,Grøft!H84,Grøft!H91)</f>
        <v>479.93904171115946</v>
      </c>
      <c r="I55" s="275">
        <f>IF(H13&lt;Grøft!H56,Grøft!I84,Grøft!I91)</f>
        <v>7.0064093680461237E-2</v>
      </c>
      <c r="J55" s="359">
        <f>IF(H13&lt;Grøft!H56,Grøft!J84,Grøft!J91)</f>
        <v>0</v>
      </c>
      <c r="K55" s="275">
        <f>IF(H13&lt;Grøft!H56,Grøft!K84,Grøft!K91)</f>
        <v>0</v>
      </c>
      <c r="L55" s="268"/>
      <c r="M55" s="124"/>
      <c r="N55" s="266"/>
      <c r="O55" s="126"/>
      <c r="P55" s="126"/>
      <c r="Q55" s="126"/>
      <c r="R55" s="126"/>
      <c r="S55" s="126"/>
      <c r="T55" s="126"/>
      <c r="U55" s="126"/>
      <c r="V55" s="126"/>
      <c r="W55" s="126"/>
      <c r="X55" s="126"/>
      <c r="Y55" s="126"/>
      <c r="Z55" s="126"/>
      <c r="AA55" s="126"/>
      <c r="AB55" s="268"/>
      <c r="AC55" s="124"/>
      <c r="AD55" s="266"/>
      <c r="AE55" s="126"/>
      <c r="AF55" s="366"/>
      <c r="AG55" s="126"/>
      <c r="AH55" s="126"/>
      <c r="AI55" s="126"/>
      <c r="AJ55" s="126"/>
      <c r="AK55" s="126"/>
      <c r="AL55" s="126"/>
      <c r="AM55" s="126"/>
      <c r="AN55" s="276"/>
      <c r="AO55" s="126"/>
      <c r="AP55" s="126"/>
      <c r="AQ55" s="126"/>
      <c r="AR55" s="126"/>
      <c r="AS55" s="268"/>
      <c r="AT55" s="125"/>
    </row>
    <row r="56" spans="2:46" ht="18" customHeight="1" x14ac:dyDescent="0.35">
      <c r="B56" s="123"/>
      <c r="C56" s="266"/>
      <c r="D56" s="126" t="s">
        <v>295</v>
      </c>
      <c r="E56" s="126" t="s">
        <v>445</v>
      </c>
      <c r="F56" s="359">
        <f>IF(H13&lt;Grøft!H56,Grøft!F83,Grøft!F90)</f>
        <v>6751.8252295753191</v>
      </c>
      <c r="G56" s="277">
        <f>IF(H13&lt;Grøft!H56,Grøft!G83,Grøft!G90)</f>
        <v>0.98566791672632392</v>
      </c>
      <c r="H56" s="360">
        <f>IF(H13&lt;Grøft!H56,Grøft!H83,Grøft!H90)</f>
        <v>6666.8252295753191</v>
      </c>
      <c r="I56" s="275">
        <f>IF(H13&lt;Grøft!H56,Grøft!I83,Grøft!I90)</f>
        <v>0.97325915760223636</v>
      </c>
      <c r="J56" s="359">
        <f>IF(H13&lt;Grøft!H56,Grøft!J83,Grøft!J90)</f>
        <v>6186.8861878641592</v>
      </c>
      <c r="K56" s="275">
        <f>IF(H13&lt;Grøft!H56,Grøft!K83,Grøft!K90)</f>
        <v>0.90319506392177518</v>
      </c>
      <c r="L56" s="268"/>
      <c r="M56" s="124"/>
      <c r="N56" s="266"/>
      <c r="O56" s="126"/>
      <c r="P56" s="126"/>
      <c r="Q56" s="126"/>
      <c r="R56" s="126"/>
      <c r="S56" s="126"/>
      <c r="T56" s="126"/>
      <c r="U56" s="126"/>
      <c r="V56" s="126"/>
      <c r="W56" s="126"/>
      <c r="X56" s="126"/>
      <c r="Y56" s="126"/>
      <c r="Z56" s="126"/>
      <c r="AA56" s="126"/>
      <c r="AB56" s="268"/>
      <c r="AC56" s="124"/>
      <c r="AD56" s="266"/>
      <c r="AE56" s="126"/>
      <c r="AF56" s="371"/>
      <c r="AG56" s="126"/>
      <c r="AH56" s="126"/>
      <c r="AI56" s="126"/>
      <c r="AJ56" s="126"/>
      <c r="AK56" s="126"/>
      <c r="AL56" s="126"/>
      <c r="AM56" s="126"/>
      <c r="AN56" s="372"/>
      <c r="AO56" s="126"/>
      <c r="AP56" s="126"/>
      <c r="AQ56" s="126"/>
      <c r="AR56" s="126"/>
      <c r="AS56" s="268"/>
      <c r="AT56" s="125"/>
    </row>
    <row r="57" spans="2:46" ht="18" customHeight="1" thickBot="1" x14ac:dyDescent="0.3">
      <c r="B57" s="123"/>
      <c r="C57" s="271"/>
      <c r="D57" s="279"/>
      <c r="E57" s="280"/>
      <c r="F57" s="272"/>
      <c r="G57" s="272"/>
      <c r="H57" s="272"/>
      <c r="I57" s="272"/>
      <c r="J57" s="272"/>
      <c r="K57" s="272"/>
      <c r="L57" s="273"/>
      <c r="M57" s="124"/>
      <c r="N57" s="266"/>
      <c r="O57" s="126"/>
      <c r="P57" s="126"/>
      <c r="Q57" s="126"/>
      <c r="R57" s="126"/>
      <c r="S57" s="126"/>
      <c r="T57" s="126"/>
      <c r="U57" s="126"/>
      <c r="V57" s="126"/>
      <c r="W57" s="126"/>
      <c r="X57" s="126"/>
      <c r="Y57" s="126"/>
      <c r="Z57" s="126"/>
      <c r="AA57" s="126"/>
      <c r="AB57" s="268"/>
      <c r="AC57" s="124"/>
      <c r="AD57" s="266"/>
      <c r="AE57" s="126"/>
      <c r="AF57" s="126"/>
      <c r="AG57" s="126"/>
      <c r="AH57" s="126"/>
      <c r="AI57" s="126"/>
      <c r="AJ57" s="126"/>
      <c r="AK57" s="126"/>
      <c r="AL57" s="126"/>
      <c r="AM57" s="126"/>
      <c r="AN57" s="126"/>
      <c r="AO57" s="126"/>
      <c r="AP57" s="126"/>
      <c r="AQ57" s="126"/>
      <c r="AR57" s="126"/>
      <c r="AS57" s="268"/>
      <c r="AT57" s="125"/>
    </row>
    <row r="58" spans="2:46" ht="14.25" customHeight="1" thickBot="1" x14ac:dyDescent="0.3">
      <c r="B58" s="123"/>
      <c r="C58" s="124"/>
      <c r="D58" s="124"/>
      <c r="E58" s="124"/>
      <c r="F58" s="124"/>
      <c r="G58" s="124"/>
      <c r="H58" s="124"/>
      <c r="I58" s="124"/>
      <c r="J58" s="124"/>
      <c r="K58" s="124"/>
      <c r="L58" s="124"/>
      <c r="M58" s="124"/>
      <c r="N58" s="266"/>
      <c r="O58" s="126"/>
      <c r="P58" s="126"/>
      <c r="Q58" s="126"/>
      <c r="R58" s="126"/>
      <c r="S58" s="126"/>
      <c r="T58" s="126"/>
      <c r="U58" s="126"/>
      <c r="V58" s="126"/>
      <c r="W58" s="126"/>
      <c r="X58" s="126"/>
      <c r="Y58" s="126"/>
      <c r="Z58" s="126"/>
      <c r="AA58" s="126"/>
      <c r="AB58" s="268"/>
      <c r="AC58" s="124"/>
      <c r="AD58" s="266"/>
      <c r="AE58" s="126"/>
      <c r="AF58" s="126"/>
      <c r="AG58" s="126"/>
      <c r="AH58" s="126"/>
      <c r="AI58" s="126"/>
      <c r="AJ58" s="126"/>
      <c r="AK58" s="126"/>
      <c r="AL58" s="126"/>
      <c r="AM58" s="126"/>
      <c r="AN58" s="126"/>
      <c r="AO58" s="126"/>
      <c r="AP58" s="126"/>
      <c r="AQ58" s="126"/>
      <c r="AR58" s="126"/>
      <c r="AS58" s="268"/>
      <c r="AT58" s="125"/>
    </row>
    <row r="59" spans="2:46" ht="18" customHeight="1" x14ac:dyDescent="0.25">
      <c r="B59" s="123"/>
      <c r="C59" s="263"/>
      <c r="D59" s="264"/>
      <c r="E59" s="264"/>
      <c r="F59" s="264"/>
      <c r="G59" s="264"/>
      <c r="H59" s="264"/>
      <c r="I59" s="264"/>
      <c r="J59" s="264"/>
      <c r="K59" s="264"/>
      <c r="L59" s="265"/>
      <c r="M59" s="124"/>
      <c r="N59" s="266"/>
      <c r="O59" s="126"/>
      <c r="P59" s="126"/>
      <c r="Q59" s="126"/>
      <c r="R59" s="126"/>
      <c r="S59" s="126"/>
      <c r="T59" s="126"/>
      <c r="U59" s="126"/>
      <c r="V59" s="126"/>
      <c r="W59" s="126"/>
      <c r="X59" s="126"/>
      <c r="Y59" s="126"/>
      <c r="Z59" s="126"/>
      <c r="AA59" s="126"/>
      <c r="AB59" s="268"/>
      <c r="AC59" s="124"/>
      <c r="AD59" s="266"/>
      <c r="AE59" s="126"/>
      <c r="AF59" s="126"/>
      <c r="AG59" s="126"/>
      <c r="AH59" s="126"/>
      <c r="AI59" s="126"/>
      <c r="AJ59" s="126"/>
      <c r="AK59" s="126"/>
      <c r="AL59" s="126"/>
      <c r="AM59" s="126"/>
      <c r="AN59" s="126"/>
      <c r="AO59" s="126"/>
      <c r="AP59" s="126"/>
      <c r="AQ59" s="126"/>
      <c r="AR59" s="126"/>
      <c r="AS59" s="268"/>
      <c r="AT59" s="125"/>
    </row>
    <row r="60" spans="2:46" ht="21.75" customHeight="1" x14ac:dyDescent="0.35">
      <c r="B60" s="123"/>
      <c r="C60" s="266"/>
      <c r="D60" s="267" t="s">
        <v>446</v>
      </c>
      <c r="E60" s="525"/>
      <c r="F60" s="524"/>
      <c r="G60" s="126"/>
      <c r="H60" s="126"/>
      <c r="I60" s="126"/>
      <c r="J60" s="126"/>
      <c r="K60" s="126"/>
      <c r="L60" s="268"/>
      <c r="M60" s="124"/>
      <c r="N60" s="266"/>
      <c r="O60" s="267"/>
      <c r="P60" s="126"/>
      <c r="Q60" s="126"/>
      <c r="R60" s="126"/>
      <c r="S60" s="126"/>
      <c r="T60" s="126"/>
      <c r="U60" s="126"/>
      <c r="V60" s="126"/>
      <c r="W60" s="126"/>
      <c r="X60" s="126"/>
      <c r="Y60" s="126"/>
      <c r="Z60" s="126"/>
      <c r="AA60" s="126"/>
      <c r="AB60" s="268"/>
      <c r="AC60" s="124"/>
      <c r="AD60" s="340"/>
      <c r="AE60" s="126"/>
      <c r="AF60" s="126"/>
      <c r="AG60" s="126"/>
      <c r="AH60" s="126"/>
      <c r="AI60" s="126"/>
      <c r="AJ60" s="126"/>
      <c r="AK60" s="126"/>
      <c r="AL60" s="126"/>
      <c r="AM60" s="126"/>
      <c r="AN60" s="126"/>
      <c r="AO60" s="126"/>
      <c r="AP60" s="126"/>
      <c r="AQ60" s="126"/>
      <c r="AR60" s="126"/>
      <c r="AS60" s="268"/>
      <c r="AT60" s="125"/>
    </row>
    <row r="61" spans="2:46" ht="18" customHeight="1" x14ac:dyDescent="0.25">
      <c r="B61" s="123"/>
      <c r="C61" s="266"/>
      <c r="D61" s="126"/>
      <c r="E61" s="126"/>
      <c r="F61" s="126"/>
      <c r="G61" s="126"/>
      <c r="H61" s="126"/>
      <c r="I61" s="126"/>
      <c r="J61" s="126"/>
      <c r="K61" s="126"/>
      <c r="L61" s="268"/>
      <c r="M61" s="124"/>
      <c r="N61" s="266"/>
      <c r="O61" s="126"/>
      <c r="P61" s="126"/>
      <c r="Q61" s="126"/>
      <c r="R61" s="126"/>
      <c r="S61" s="126"/>
      <c r="T61" s="126"/>
      <c r="U61" s="126"/>
      <c r="V61" s="126"/>
      <c r="W61" s="126"/>
      <c r="X61" s="126"/>
      <c r="Y61" s="126"/>
      <c r="Z61" s="126"/>
      <c r="AA61" s="126"/>
      <c r="AB61" s="268"/>
      <c r="AC61" s="124"/>
      <c r="AD61" s="266"/>
      <c r="AE61" s="126"/>
      <c r="AF61" s="126"/>
      <c r="AG61" s="126"/>
      <c r="AH61" s="126"/>
      <c r="AI61" s="126"/>
      <c r="AJ61" s="126"/>
      <c r="AK61" s="126"/>
      <c r="AL61" s="126"/>
      <c r="AM61" s="126"/>
      <c r="AN61" s="126"/>
      <c r="AO61" s="126"/>
      <c r="AP61" s="126"/>
      <c r="AQ61" s="126"/>
      <c r="AR61" s="126"/>
      <c r="AS61" s="268"/>
      <c r="AT61" s="125"/>
    </row>
    <row r="62" spans="2:46" ht="18" customHeight="1" x14ac:dyDescent="0.25">
      <c r="B62" s="123"/>
      <c r="C62" s="266"/>
      <c r="D62" s="126"/>
      <c r="E62" s="126"/>
      <c r="F62" s="126"/>
      <c r="G62" s="126"/>
      <c r="H62" s="126"/>
      <c r="I62" s="126"/>
      <c r="J62" s="126"/>
      <c r="K62" s="126"/>
      <c r="L62" s="268"/>
      <c r="M62" s="124"/>
      <c r="N62" s="266"/>
      <c r="O62" s="126"/>
      <c r="P62" s="126"/>
      <c r="Q62" s="126"/>
      <c r="R62" s="126"/>
      <c r="S62" s="126"/>
      <c r="T62" s="126"/>
      <c r="U62" s="126"/>
      <c r="V62" s="126"/>
      <c r="W62" s="126"/>
      <c r="X62" s="126"/>
      <c r="Y62" s="126"/>
      <c r="Z62" s="126"/>
      <c r="AA62" s="126"/>
      <c r="AB62" s="268"/>
      <c r="AC62" s="124"/>
      <c r="AD62" s="266"/>
      <c r="AE62" s="126"/>
      <c r="AF62" s="126"/>
      <c r="AG62" s="126"/>
      <c r="AH62" s="126"/>
      <c r="AI62" s="126"/>
      <c r="AJ62" s="126"/>
      <c r="AK62" s="126"/>
      <c r="AL62" s="126"/>
      <c r="AM62" s="126"/>
      <c r="AN62" s="126"/>
      <c r="AO62" s="126"/>
      <c r="AP62" s="126"/>
      <c r="AQ62" s="126"/>
      <c r="AR62" s="126"/>
      <c r="AS62" s="268"/>
      <c r="AT62" s="125"/>
    </row>
    <row r="63" spans="2:46" ht="18" customHeight="1" x14ac:dyDescent="0.25">
      <c r="B63" s="123"/>
      <c r="C63" s="266"/>
      <c r="D63" s="126"/>
      <c r="E63" s="126"/>
      <c r="F63" s="126"/>
      <c r="G63" s="126"/>
      <c r="H63" s="126"/>
      <c r="I63" s="126"/>
      <c r="J63" s="126"/>
      <c r="K63" s="126"/>
      <c r="L63" s="268"/>
      <c r="M63" s="124"/>
      <c r="N63" s="266"/>
      <c r="O63" s="126"/>
      <c r="P63" s="126"/>
      <c r="Q63" s="126"/>
      <c r="R63" s="126"/>
      <c r="S63" s="126"/>
      <c r="T63" s="126"/>
      <c r="U63" s="126"/>
      <c r="V63" s="126"/>
      <c r="W63" s="126"/>
      <c r="X63" s="126"/>
      <c r="Y63" s="126"/>
      <c r="Z63" s="126"/>
      <c r="AA63" s="126"/>
      <c r="AB63" s="268"/>
      <c r="AC63" s="124"/>
      <c r="AD63" s="266"/>
      <c r="AE63" s="126"/>
      <c r="AF63" s="126"/>
      <c r="AG63" s="126"/>
      <c r="AH63" s="126"/>
      <c r="AI63" s="126"/>
      <c r="AJ63" s="126"/>
      <c r="AK63" s="126"/>
      <c r="AL63" s="126"/>
      <c r="AM63" s="126"/>
      <c r="AN63" s="126"/>
      <c r="AO63" s="126"/>
      <c r="AP63" s="126"/>
      <c r="AQ63" s="126"/>
      <c r="AR63" s="126"/>
      <c r="AS63" s="268"/>
      <c r="AT63" s="125"/>
    </row>
    <row r="64" spans="2:46" ht="18" customHeight="1" x14ac:dyDescent="0.25">
      <c r="B64" s="123"/>
      <c r="C64" s="266"/>
      <c r="D64" s="126"/>
      <c r="E64" s="126"/>
      <c r="F64" s="126"/>
      <c r="G64" s="126"/>
      <c r="H64" s="126"/>
      <c r="I64" s="126"/>
      <c r="J64" s="126"/>
      <c r="K64" s="126"/>
      <c r="L64" s="268"/>
      <c r="M64" s="124"/>
      <c r="N64" s="266"/>
      <c r="O64" s="126"/>
      <c r="P64" s="126"/>
      <c r="Q64" s="126"/>
      <c r="R64" s="126"/>
      <c r="S64" s="126"/>
      <c r="T64" s="126"/>
      <c r="U64" s="126"/>
      <c r="V64" s="126"/>
      <c r="W64" s="126"/>
      <c r="X64" s="126"/>
      <c r="Y64" s="126"/>
      <c r="Z64" s="126"/>
      <c r="AA64" s="126"/>
      <c r="AB64" s="268"/>
      <c r="AC64" s="124"/>
      <c r="AD64" s="266"/>
      <c r="AE64" s="126"/>
      <c r="AF64" s="126"/>
      <c r="AG64" s="126"/>
      <c r="AH64" s="126"/>
      <c r="AI64" s="126"/>
      <c r="AJ64" s="126"/>
      <c r="AK64" s="126"/>
      <c r="AL64" s="126"/>
      <c r="AM64" s="126"/>
      <c r="AN64" s="126"/>
      <c r="AO64" s="126"/>
      <c r="AP64" s="126"/>
      <c r="AQ64" s="126"/>
      <c r="AR64" s="126"/>
      <c r="AS64" s="268"/>
      <c r="AT64" s="125"/>
    </row>
    <row r="65" spans="2:46" ht="18" customHeight="1" x14ac:dyDescent="0.25">
      <c r="B65" s="123"/>
      <c r="C65" s="266"/>
      <c r="D65" s="126"/>
      <c r="E65" s="126"/>
      <c r="F65" s="126"/>
      <c r="G65" s="126"/>
      <c r="H65" s="126"/>
      <c r="I65" s="126"/>
      <c r="J65" s="126"/>
      <c r="K65" s="126"/>
      <c r="L65" s="268"/>
      <c r="M65" s="124"/>
      <c r="N65" s="266"/>
      <c r="O65" s="126"/>
      <c r="P65" s="126"/>
      <c r="Q65" s="126"/>
      <c r="R65" s="126"/>
      <c r="S65" s="126"/>
      <c r="T65" s="126"/>
      <c r="U65" s="126"/>
      <c r="V65" s="126"/>
      <c r="W65" s="126"/>
      <c r="X65" s="126"/>
      <c r="Y65" s="126"/>
      <c r="Z65" s="126"/>
      <c r="AA65" s="126"/>
      <c r="AB65" s="268"/>
      <c r="AC65" s="124"/>
      <c r="AD65" s="266"/>
      <c r="AE65" s="126"/>
      <c r="AF65" s="126"/>
      <c r="AG65" s="126"/>
      <c r="AH65" s="126"/>
      <c r="AI65" s="126"/>
      <c r="AJ65" s="126"/>
      <c r="AK65" s="126"/>
      <c r="AL65" s="126"/>
      <c r="AM65" s="126"/>
      <c r="AN65" s="126"/>
      <c r="AO65" s="126"/>
      <c r="AP65" s="126"/>
      <c r="AQ65" s="126"/>
      <c r="AR65" s="126"/>
      <c r="AS65" s="268"/>
      <c r="AT65" s="125"/>
    </row>
    <row r="66" spans="2:46" ht="18" customHeight="1" x14ac:dyDescent="0.25">
      <c r="B66" s="123"/>
      <c r="C66" s="266"/>
      <c r="D66" s="126"/>
      <c r="E66" s="126"/>
      <c r="F66" s="126"/>
      <c r="G66" s="126"/>
      <c r="H66" s="126"/>
      <c r="I66" s="126"/>
      <c r="J66" s="126"/>
      <c r="K66" s="126"/>
      <c r="L66" s="268"/>
      <c r="M66" s="124"/>
      <c r="N66" s="266"/>
      <c r="O66" s="126"/>
      <c r="P66" s="126"/>
      <c r="Q66" s="126"/>
      <c r="R66" s="126"/>
      <c r="S66" s="126"/>
      <c r="T66" s="126"/>
      <c r="U66" s="126"/>
      <c r="V66" s="126"/>
      <c r="W66" s="126"/>
      <c r="X66" s="126"/>
      <c r="Y66" s="126"/>
      <c r="Z66" s="126"/>
      <c r="AA66" s="126"/>
      <c r="AB66" s="268"/>
      <c r="AC66" s="124"/>
      <c r="AD66" s="266"/>
      <c r="AE66" s="126"/>
      <c r="AF66" s="126"/>
      <c r="AG66" s="126"/>
      <c r="AH66" s="126"/>
      <c r="AI66" s="126"/>
      <c r="AJ66" s="126"/>
      <c r="AK66" s="126"/>
      <c r="AL66" s="126"/>
      <c r="AM66" s="126"/>
      <c r="AN66" s="126"/>
      <c r="AO66" s="126"/>
      <c r="AP66" s="126"/>
      <c r="AQ66" s="126"/>
      <c r="AR66" s="126"/>
      <c r="AS66" s="268"/>
      <c r="AT66" s="125"/>
    </row>
    <row r="67" spans="2:46" ht="18" customHeight="1" x14ac:dyDescent="0.25">
      <c r="B67" s="123"/>
      <c r="C67" s="266"/>
      <c r="D67" s="126"/>
      <c r="E67" s="126"/>
      <c r="F67" s="126"/>
      <c r="G67" s="126"/>
      <c r="H67" s="126"/>
      <c r="I67" s="126"/>
      <c r="J67" s="126"/>
      <c r="K67" s="126"/>
      <c r="L67" s="268"/>
      <c r="M67" s="124"/>
      <c r="N67" s="266"/>
      <c r="O67" s="126"/>
      <c r="P67" s="126"/>
      <c r="Q67" s="126"/>
      <c r="R67" s="126"/>
      <c r="S67" s="126"/>
      <c r="T67" s="126"/>
      <c r="U67" s="126"/>
      <c r="V67" s="126"/>
      <c r="W67" s="126"/>
      <c r="X67" s="126"/>
      <c r="Y67" s="126"/>
      <c r="Z67" s="126"/>
      <c r="AA67" s="126"/>
      <c r="AB67" s="268"/>
      <c r="AC67" s="124"/>
      <c r="AD67" s="340"/>
      <c r="AE67" s="126"/>
      <c r="AF67" s="126"/>
      <c r="AG67" s="126"/>
      <c r="AH67" s="126"/>
      <c r="AI67" s="126"/>
      <c r="AJ67" s="126"/>
      <c r="AK67" s="126"/>
      <c r="AL67" s="126"/>
      <c r="AM67" s="126"/>
      <c r="AN67" s="126"/>
      <c r="AO67" s="126"/>
      <c r="AP67" s="126"/>
      <c r="AQ67" s="126"/>
      <c r="AR67" s="126"/>
      <c r="AS67" s="268"/>
      <c r="AT67" s="125"/>
    </row>
    <row r="68" spans="2:46" ht="18" customHeight="1" x14ac:dyDescent="0.25">
      <c r="B68" s="123"/>
      <c r="C68" s="266"/>
      <c r="D68" s="126"/>
      <c r="E68" s="126"/>
      <c r="F68" s="126"/>
      <c r="G68" s="126"/>
      <c r="H68" s="126"/>
      <c r="I68" s="126"/>
      <c r="J68" s="126"/>
      <c r="K68" s="126"/>
      <c r="L68" s="268"/>
      <c r="M68" s="124"/>
      <c r="N68" s="266"/>
      <c r="O68" s="126"/>
      <c r="P68" s="126"/>
      <c r="Q68" s="126"/>
      <c r="R68" s="126"/>
      <c r="S68" s="126"/>
      <c r="T68" s="126"/>
      <c r="U68" s="126"/>
      <c r="V68" s="126"/>
      <c r="W68" s="126"/>
      <c r="X68" s="126"/>
      <c r="Y68" s="126"/>
      <c r="Z68" s="126"/>
      <c r="AA68" s="126"/>
      <c r="AB68" s="268"/>
      <c r="AC68" s="124"/>
      <c r="AD68" s="266"/>
      <c r="AE68" s="126"/>
      <c r="AF68" s="126"/>
      <c r="AG68" s="126"/>
      <c r="AH68" s="126"/>
      <c r="AI68" s="126"/>
      <c r="AJ68" s="126"/>
      <c r="AK68" s="126"/>
      <c r="AL68" s="126"/>
      <c r="AM68" s="126"/>
      <c r="AN68" s="126"/>
      <c r="AO68" s="126"/>
      <c r="AP68" s="126"/>
      <c r="AQ68" s="126"/>
      <c r="AR68" s="126"/>
      <c r="AS68" s="268"/>
      <c r="AT68" s="125"/>
    </row>
    <row r="69" spans="2:46" ht="18" customHeight="1" x14ac:dyDescent="0.25">
      <c r="B69" s="123"/>
      <c r="C69" s="266"/>
      <c r="D69" s="126"/>
      <c r="E69" s="126"/>
      <c r="F69" s="126"/>
      <c r="G69" s="126"/>
      <c r="H69" s="126"/>
      <c r="I69" s="126"/>
      <c r="J69" s="126"/>
      <c r="K69" s="126"/>
      <c r="L69" s="268"/>
      <c r="M69" s="124"/>
      <c r="N69" s="266"/>
      <c r="O69" s="126"/>
      <c r="P69" s="126"/>
      <c r="Q69" s="126"/>
      <c r="R69" s="126"/>
      <c r="S69" s="126"/>
      <c r="T69" s="126"/>
      <c r="U69" s="126"/>
      <c r="V69" s="126"/>
      <c r="W69" s="126"/>
      <c r="X69" s="126"/>
      <c r="Y69" s="126"/>
      <c r="Z69" s="126"/>
      <c r="AA69" s="126"/>
      <c r="AB69" s="268"/>
      <c r="AC69" s="124"/>
      <c r="AD69" s="266"/>
      <c r="AE69" s="126"/>
      <c r="AF69" s="126"/>
      <c r="AG69" s="126"/>
      <c r="AH69" s="126"/>
      <c r="AI69" s="126"/>
      <c r="AJ69" s="126"/>
      <c r="AK69" s="126"/>
      <c r="AL69" s="126"/>
      <c r="AM69" s="126"/>
      <c r="AN69" s="126"/>
      <c r="AO69" s="126"/>
      <c r="AP69" s="126"/>
      <c r="AQ69" s="126"/>
      <c r="AR69" s="126"/>
      <c r="AS69" s="268"/>
      <c r="AT69" s="125"/>
    </row>
    <row r="70" spans="2:46" ht="18" customHeight="1" x14ac:dyDescent="0.25">
      <c r="B70" s="123"/>
      <c r="C70" s="266"/>
      <c r="D70" s="126"/>
      <c r="E70" s="126"/>
      <c r="F70" s="126"/>
      <c r="G70" s="126"/>
      <c r="H70" s="126"/>
      <c r="I70" s="126"/>
      <c r="J70" s="126"/>
      <c r="K70" s="126"/>
      <c r="L70" s="268"/>
      <c r="M70" s="124"/>
      <c r="N70" s="266"/>
      <c r="O70" s="126"/>
      <c r="P70" s="126"/>
      <c r="Q70" s="126"/>
      <c r="R70" s="126"/>
      <c r="S70" s="126"/>
      <c r="T70" s="126"/>
      <c r="U70" s="126"/>
      <c r="V70" s="126"/>
      <c r="W70" s="126"/>
      <c r="X70" s="126"/>
      <c r="Y70" s="126"/>
      <c r="Z70" s="126"/>
      <c r="AA70" s="126"/>
      <c r="AB70" s="268"/>
      <c r="AC70" s="124"/>
      <c r="AD70" s="266"/>
      <c r="AE70" s="126"/>
      <c r="AF70" s="126"/>
      <c r="AG70" s="126"/>
      <c r="AH70" s="126"/>
      <c r="AI70" s="126"/>
      <c r="AJ70" s="126"/>
      <c r="AK70" s="126"/>
      <c r="AL70" s="126"/>
      <c r="AM70" s="126"/>
      <c r="AN70" s="126"/>
      <c r="AO70" s="126"/>
      <c r="AP70" s="126"/>
      <c r="AQ70" s="126"/>
      <c r="AR70" s="126"/>
      <c r="AS70" s="268"/>
      <c r="AT70" s="125"/>
    </row>
    <row r="71" spans="2:46" ht="18" customHeight="1" x14ac:dyDescent="0.25">
      <c r="B71" s="123"/>
      <c r="C71" s="266"/>
      <c r="D71" s="126"/>
      <c r="E71" s="126"/>
      <c r="F71" s="126"/>
      <c r="G71" s="126"/>
      <c r="H71" s="126"/>
      <c r="I71" s="126"/>
      <c r="J71" s="126"/>
      <c r="K71" s="126"/>
      <c r="L71" s="268"/>
      <c r="M71" s="124"/>
      <c r="N71" s="266"/>
      <c r="O71" s="126"/>
      <c r="P71" s="126"/>
      <c r="Q71" s="126"/>
      <c r="R71" s="126"/>
      <c r="S71" s="126"/>
      <c r="T71" s="126"/>
      <c r="U71" s="126"/>
      <c r="V71" s="126"/>
      <c r="W71" s="126"/>
      <c r="X71" s="126"/>
      <c r="Y71" s="126"/>
      <c r="Z71" s="126"/>
      <c r="AA71" s="126"/>
      <c r="AB71" s="268"/>
      <c r="AC71" s="124"/>
      <c r="AD71" s="266"/>
      <c r="AE71" s="126"/>
      <c r="AF71" s="126"/>
      <c r="AG71" s="126"/>
      <c r="AH71" s="126"/>
      <c r="AI71" s="126"/>
      <c r="AJ71" s="126"/>
      <c r="AK71" s="126"/>
      <c r="AL71" s="126"/>
      <c r="AM71" s="126"/>
      <c r="AN71" s="126"/>
      <c r="AO71" s="126"/>
      <c r="AP71" s="126"/>
      <c r="AQ71" s="126"/>
      <c r="AR71" s="126"/>
      <c r="AS71" s="268"/>
      <c r="AT71" s="125"/>
    </row>
    <row r="72" spans="2:46" ht="18" customHeight="1" x14ac:dyDescent="0.25">
      <c r="B72" s="123"/>
      <c r="C72" s="266"/>
      <c r="D72" s="126"/>
      <c r="E72" s="126"/>
      <c r="F72" s="126"/>
      <c r="G72" s="126"/>
      <c r="H72" s="126"/>
      <c r="I72" s="126"/>
      <c r="J72" s="126"/>
      <c r="K72" s="126"/>
      <c r="L72" s="268"/>
      <c r="M72" s="124"/>
      <c r="N72" s="266"/>
      <c r="O72" s="126"/>
      <c r="P72" s="126"/>
      <c r="Q72" s="126"/>
      <c r="R72" s="126"/>
      <c r="S72" s="126"/>
      <c r="T72" s="126"/>
      <c r="U72" s="126"/>
      <c r="V72" s="126"/>
      <c r="W72" s="126"/>
      <c r="X72" s="126"/>
      <c r="Y72" s="126"/>
      <c r="Z72" s="126"/>
      <c r="AA72" s="126"/>
      <c r="AB72" s="268"/>
      <c r="AC72" s="124"/>
      <c r="AD72" s="266"/>
      <c r="AE72" s="126"/>
      <c r="AF72" s="126"/>
      <c r="AG72" s="126"/>
      <c r="AH72" s="126"/>
      <c r="AI72" s="126"/>
      <c r="AJ72" s="126"/>
      <c r="AK72" s="126"/>
      <c r="AL72" s="126"/>
      <c r="AM72" s="126"/>
      <c r="AN72" s="126"/>
      <c r="AO72" s="126"/>
      <c r="AP72" s="126"/>
      <c r="AQ72" s="126"/>
      <c r="AR72" s="126"/>
      <c r="AS72" s="268"/>
      <c r="AT72" s="125"/>
    </row>
    <row r="73" spans="2:46" ht="18" customHeight="1" x14ac:dyDescent="0.25">
      <c r="B73" s="123"/>
      <c r="C73" s="266"/>
      <c r="D73" s="126"/>
      <c r="E73" s="126"/>
      <c r="F73" s="126"/>
      <c r="G73" s="126"/>
      <c r="H73" s="126"/>
      <c r="I73" s="126"/>
      <c r="J73" s="126"/>
      <c r="K73" s="126"/>
      <c r="L73" s="268"/>
      <c r="M73" s="124"/>
      <c r="N73" s="266"/>
      <c r="O73" s="126"/>
      <c r="P73" s="126"/>
      <c r="Q73" s="126"/>
      <c r="R73" s="126"/>
      <c r="S73" s="126"/>
      <c r="T73" s="126"/>
      <c r="U73" s="126"/>
      <c r="V73" s="126"/>
      <c r="W73" s="126"/>
      <c r="X73" s="126"/>
      <c r="Y73" s="126"/>
      <c r="Z73" s="126"/>
      <c r="AA73" s="126"/>
      <c r="AB73" s="268"/>
      <c r="AC73" s="124"/>
      <c r="AD73" s="266"/>
      <c r="AE73" s="126"/>
      <c r="AF73" s="126"/>
      <c r="AG73" s="126"/>
      <c r="AH73" s="126"/>
      <c r="AI73" s="126"/>
      <c r="AJ73" s="126"/>
      <c r="AK73" s="126"/>
      <c r="AL73" s="126"/>
      <c r="AM73" s="126"/>
      <c r="AN73" s="126"/>
      <c r="AO73" s="126"/>
      <c r="AP73" s="126"/>
      <c r="AQ73" s="126"/>
      <c r="AR73" s="126"/>
      <c r="AS73" s="268"/>
      <c r="AT73" s="125"/>
    </row>
    <row r="74" spans="2:46" ht="18" customHeight="1" x14ac:dyDescent="0.25">
      <c r="B74" s="123"/>
      <c r="C74" s="266"/>
      <c r="D74" s="126"/>
      <c r="E74" s="126"/>
      <c r="F74" s="126"/>
      <c r="G74" s="126"/>
      <c r="H74" s="126"/>
      <c r="I74" s="126"/>
      <c r="J74" s="126"/>
      <c r="K74" s="126"/>
      <c r="L74" s="268"/>
      <c r="M74" s="124"/>
      <c r="N74" s="266"/>
      <c r="O74" s="126"/>
      <c r="P74" s="126"/>
      <c r="Q74" s="126"/>
      <c r="R74" s="126"/>
      <c r="S74" s="126"/>
      <c r="T74" s="126"/>
      <c r="U74" s="126"/>
      <c r="V74" s="126"/>
      <c r="W74" s="126"/>
      <c r="X74" s="126"/>
      <c r="Y74" s="126"/>
      <c r="Z74" s="126"/>
      <c r="AA74" s="126"/>
      <c r="AB74" s="268"/>
      <c r="AC74" s="124"/>
      <c r="AD74" s="266"/>
      <c r="AE74" s="126"/>
      <c r="AF74" s="126"/>
      <c r="AG74" s="126"/>
      <c r="AH74" s="126"/>
      <c r="AI74" s="126"/>
      <c r="AJ74" s="126"/>
      <c r="AK74" s="126"/>
      <c r="AL74" s="126"/>
      <c r="AM74" s="126"/>
      <c r="AN74" s="126"/>
      <c r="AO74" s="126"/>
      <c r="AP74" s="126"/>
      <c r="AQ74" s="126"/>
      <c r="AR74" s="126"/>
      <c r="AS74" s="268"/>
      <c r="AT74" s="125"/>
    </row>
    <row r="75" spans="2:46" ht="18" customHeight="1" x14ac:dyDescent="0.25">
      <c r="B75" s="123"/>
      <c r="C75" s="266"/>
      <c r="D75" s="126"/>
      <c r="E75" s="126"/>
      <c r="F75" s="126"/>
      <c r="G75" s="126"/>
      <c r="H75" s="126"/>
      <c r="I75" s="126"/>
      <c r="J75" s="126"/>
      <c r="K75" s="126"/>
      <c r="L75" s="268"/>
      <c r="M75" s="124"/>
      <c r="N75" s="266"/>
      <c r="O75" s="126"/>
      <c r="P75" s="126"/>
      <c r="Q75" s="126"/>
      <c r="R75" s="126"/>
      <c r="S75" s="126"/>
      <c r="T75" s="126"/>
      <c r="U75" s="126"/>
      <c r="V75" s="126"/>
      <c r="W75" s="126"/>
      <c r="X75" s="126"/>
      <c r="Y75" s="126"/>
      <c r="Z75" s="126"/>
      <c r="AA75" s="126"/>
      <c r="AB75" s="268"/>
      <c r="AC75" s="124"/>
      <c r="AD75" s="266"/>
      <c r="AE75" s="126"/>
      <c r="AF75" s="126"/>
      <c r="AG75" s="126"/>
      <c r="AH75" s="126"/>
      <c r="AI75" s="126"/>
      <c r="AJ75" s="126"/>
      <c r="AK75" s="126"/>
      <c r="AL75" s="126"/>
      <c r="AM75" s="126"/>
      <c r="AN75" s="126"/>
      <c r="AO75" s="126"/>
      <c r="AP75" s="126"/>
      <c r="AQ75" s="126"/>
      <c r="AR75" s="126"/>
      <c r="AS75" s="268"/>
      <c r="AT75" s="125"/>
    </row>
    <row r="76" spans="2:46" ht="18" customHeight="1" x14ac:dyDescent="0.25">
      <c r="B76" s="123"/>
      <c r="C76" s="266"/>
      <c r="D76" s="126"/>
      <c r="E76" s="126"/>
      <c r="F76" s="126"/>
      <c r="G76" s="126"/>
      <c r="H76" s="126"/>
      <c r="I76" s="126"/>
      <c r="J76" s="126"/>
      <c r="K76" s="126"/>
      <c r="L76" s="268"/>
      <c r="M76" s="124"/>
      <c r="N76" s="266"/>
      <c r="O76" s="126"/>
      <c r="P76" s="126"/>
      <c r="Q76" s="126"/>
      <c r="R76" s="126"/>
      <c r="S76" s="126"/>
      <c r="T76" s="126"/>
      <c r="U76" s="126"/>
      <c r="V76" s="126"/>
      <c r="W76" s="126"/>
      <c r="X76" s="126"/>
      <c r="Y76" s="126"/>
      <c r="Z76" s="126"/>
      <c r="AA76" s="126"/>
      <c r="AB76" s="268"/>
      <c r="AC76" s="124"/>
      <c r="AD76" s="266"/>
      <c r="AE76" s="126"/>
      <c r="AF76" s="126"/>
      <c r="AG76" s="126"/>
      <c r="AH76" s="126"/>
      <c r="AI76" s="126"/>
      <c r="AJ76" s="126"/>
      <c r="AK76" s="126"/>
      <c r="AL76" s="126"/>
      <c r="AM76" s="126"/>
      <c r="AN76" s="126"/>
      <c r="AO76" s="126"/>
      <c r="AP76" s="126"/>
      <c r="AQ76" s="126"/>
      <c r="AR76" s="126"/>
      <c r="AS76" s="268"/>
      <c r="AT76" s="125"/>
    </row>
    <row r="77" spans="2:46" ht="18" customHeight="1" x14ac:dyDescent="0.25">
      <c r="B77" s="123"/>
      <c r="C77" s="266"/>
      <c r="D77" s="126"/>
      <c r="E77" s="126"/>
      <c r="F77" s="126"/>
      <c r="G77" s="126"/>
      <c r="H77" s="126"/>
      <c r="I77" s="126"/>
      <c r="J77" s="126"/>
      <c r="K77" s="126"/>
      <c r="L77" s="268"/>
      <c r="M77" s="124"/>
      <c r="N77" s="266"/>
      <c r="O77" s="126"/>
      <c r="P77" s="126"/>
      <c r="Q77" s="126"/>
      <c r="R77" s="126"/>
      <c r="S77" s="126"/>
      <c r="T77" s="126"/>
      <c r="U77" s="126"/>
      <c r="V77" s="126"/>
      <c r="W77" s="126"/>
      <c r="X77" s="126"/>
      <c r="Y77" s="126"/>
      <c r="Z77" s="126"/>
      <c r="AA77" s="126"/>
      <c r="AB77" s="268"/>
      <c r="AC77" s="124"/>
      <c r="AD77" s="266"/>
      <c r="AE77" s="126"/>
      <c r="AF77" s="126"/>
      <c r="AG77" s="126"/>
      <c r="AH77" s="126"/>
      <c r="AI77" s="126"/>
      <c r="AJ77" s="126"/>
      <c r="AK77" s="126"/>
      <c r="AL77" s="126"/>
      <c r="AM77" s="126"/>
      <c r="AN77" s="126"/>
      <c r="AO77" s="126"/>
      <c r="AP77" s="126"/>
      <c r="AQ77" s="126"/>
      <c r="AR77" s="126"/>
      <c r="AS77" s="268"/>
      <c r="AT77" s="125"/>
    </row>
    <row r="78" spans="2:46" ht="18" customHeight="1" x14ac:dyDescent="0.25">
      <c r="B78" s="123"/>
      <c r="C78" s="266"/>
      <c r="D78" s="126"/>
      <c r="E78" s="126"/>
      <c r="F78" s="126"/>
      <c r="G78" s="126"/>
      <c r="H78" s="126"/>
      <c r="I78" s="126"/>
      <c r="J78" s="126"/>
      <c r="K78" s="126"/>
      <c r="L78" s="268"/>
      <c r="M78" s="124"/>
      <c r="N78" s="266"/>
      <c r="O78" s="126"/>
      <c r="P78" s="126"/>
      <c r="Q78" s="126"/>
      <c r="R78" s="126"/>
      <c r="S78" s="126"/>
      <c r="T78" s="126"/>
      <c r="U78" s="126"/>
      <c r="V78" s="126"/>
      <c r="W78" s="126"/>
      <c r="X78" s="126"/>
      <c r="Y78" s="126"/>
      <c r="Z78" s="126"/>
      <c r="AA78" s="126"/>
      <c r="AB78" s="268"/>
      <c r="AC78" s="124"/>
      <c r="AD78" s="266"/>
      <c r="AE78" s="126"/>
      <c r="AF78" s="126"/>
      <c r="AG78" s="126"/>
      <c r="AH78" s="126"/>
      <c r="AI78" s="126"/>
      <c r="AJ78" s="126"/>
      <c r="AK78" s="126"/>
      <c r="AL78" s="126"/>
      <c r="AM78" s="126"/>
      <c r="AN78" s="126"/>
      <c r="AO78" s="126"/>
      <c r="AP78" s="126"/>
      <c r="AQ78" s="126"/>
      <c r="AR78" s="126"/>
      <c r="AS78" s="268"/>
      <c r="AT78" s="125"/>
    </row>
    <row r="79" spans="2:46" ht="18" customHeight="1" thickBot="1" x14ac:dyDescent="0.3">
      <c r="B79" s="123"/>
      <c r="C79" s="271"/>
      <c r="D79" s="272"/>
      <c r="E79" s="272"/>
      <c r="F79" s="272"/>
      <c r="G79" s="272"/>
      <c r="H79" s="272"/>
      <c r="I79" s="272"/>
      <c r="J79" s="272"/>
      <c r="K79" s="272"/>
      <c r="L79" s="273"/>
      <c r="M79" s="124"/>
      <c r="N79" s="271"/>
      <c r="O79" s="272"/>
      <c r="P79" s="272"/>
      <c r="Q79" s="272"/>
      <c r="R79" s="272"/>
      <c r="S79" s="272"/>
      <c r="T79" s="272"/>
      <c r="U79" s="272"/>
      <c r="V79" s="272"/>
      <c r="W79" s="272"/>
      <c r="X79" s="272"/>
      <c r="Y79" s="272"/>
      <c r="Z79" s="272"/>
      <c r="AA79" s="272"/>
      <c r="AB79" s="273"/>
      <c r="AC79" s="124"/>
      <c r="AD79" s="271"/>
      <c r="AE79" s="272"/>
      <c r="AF79" s="272"/>
      <c r="AG79" s="272"/>
      <c r="AH79" s="272"/>
      <c r="AI79" s="272"/>
      <c r="AJ79" s="272"/>
      <c r="AK79" s="272"/>
      <c r="AL79" s="272"/>
      <c r="AM79" s="272"/>
      <c r="AN79" s="272"/>
      <c r="AO79" s="272"/>
      <c r="AP79" s="272"/>
      <c r="AQ79" s="272"/>
      <c r="AR79" s="272"/>
      <c r="AS79" s="273"/>
      <c r="AT79" s="125"/>
    </row>
    <row r="80" spans="2:46" ht="18" customHeight="1" thickBot="1" x14ac:dyDescent="0.3">
      <c r="B80" s="127"/>
      <c r="C80" s="128"/>
      <c r="D80" s="128"/>
      <c r="E80" s="128"/>
      <c r="F80" s="128"/>
      <c r="G80" s="128"/>
      <c r="H80" s="128"/>
      <c r="I80" s="128"/>
      <c r="J80" s="128"/>
      <c r="K80" s="128"/>
      <c r="L80" s="128"/>
      <c r="M80" s="128"/>
      <c r="N80" s="128"/>
      <c r="O80" s="378"/>
      <c r="P80" s="128"/>
      <c r="Q80" s="128"/>
      <c r="R80" s="128"/>
      <c r="S80" s="128"/>
      <c r="T80" s="128"/>
      <c r="U80" s="128"/>
      <c r="V80" s="128"/>
      <c r="W80" s="128"/>
      <c r="X80" s="128"/>
      <c r="Y80" s="128"/>
      <c r="Z80" s="128"/>
      <c r="AA80" s="128"/>
      <c r="AB80" s="128"/>
      <c r="AC80" s="128"/>
      <c r="AD80" s="128"/>
      <c r="AE80" s="128"/>
      <c r="AF80" s="128"/>
      <c r="AG80" s="128"/>
      <c r="AH80" s="128"/>
      <c r="AI80" s="128"/>
      <c r="AJ80" s="128"/>
      <c r="AK80" s="128"/>
      <c r="AL80" s="128"/>
      <c r="AM80" s="128"/>
      <c r="AN80" s="128"/>
      <c r="AO80" s="128"/>
      <c r="AP80" s="128"/>
      <c r="AQ80" s="128"/>
      <c r="AR80" s="128"/>
      <c r="AS80" s="128"/>
      <c r="AT80" s="129"/>
    </row>
    <row r="81" spans="15:15" ht="18" customHeight="1" x14ac:dyDescent="0.25">
      <c r="O81" s="238"/>
    </row>
  </sheetData>
  <phoneticPr fontId="13" type="noConversion"/>
  <dataValidations count="2">
    <dataValidation type="list" allowBlank="1" showInputMessage="1" showErrorMessage="1" sqref="H23" xr:uid="{0D411DC0-5033-478B-A10E-3E1C27C32B1D}">
      <formula1>"Masse 1: Elveavsetninger, Masse 2: Marine strandavsetninger, Masse 3: Sandig morene, Masse 4: Grusig morene"</formula1>
    </dataValidation>
    <dataValidation type="list" allowBlank="1" showInputMessage="1" showErrorMessage="1" sqref="H28" xr:uid="{768CEE50-3364-45CA-8BC6-F63728A1B161}">
      <formula1>"Ja, Nei"</formula1>
    </dataValidation>
  </dataValidations>
  <pageMargins left="0.7" right="0.7" top="0.75" bottom="0.75" header="0.3" footer="0.3"/>
  <pageSetup paperSize="9" scale="24" fitToHeight="0" orientation="landscape" r:id="rId1"/>
  <headerFooter>
    <oddHeader>&amp;LBeregninger lagret som PDF</oddHeader>
  </headerFooter>
  <ignoredErrors>
    <ignoredError sqref="I51:I52 G51:G52 H51:H52 J51:J52"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Save_Excel_As_PDF" altText="Eksporter til PDF">
                <anchor moveWithCells="1" sizeWithCells="1">
                  <from>
                    <xdr:col>48</xdr:col>
                    <xdr:colOff>19050</xdr:colOff>
                    <xdr:row>0</xdr:row>
                    <xdr:rowOff>209550</xdr:rowOff>
                  </from>
                  <to>
                    <xdr:col>52</xdr:col>
                    <xdr:colOff>19050</xdr:colOff>
                    <xdr:row>6</xdr:row>
                    <xdr:rowOff>209550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C4153-E23E-4A77-87EE-A2A593BCC95A}">
  <sheetPr codeName="Sheet1">
    <tabColor rgb="FF7030A0"/>
  </sheetPr>
  <dimension ref="B1:AW94"/>
  <sheetViews>
    <sheetView zoomScale="60" zoomScaleNormal="60" workbookViewId="0">
      <selection activeCell="AJ21" sqref="AJ21"/>
    </sheetView>
  </sheetViews>
  <sheetFormatPr baseColWidth="10" defaultColWidth="9.140625" defaultRowHeight="15" x14ac:dyDescent="0.25"/>
  <cols>
    <col min="1" max="1" width="4.85546875" style="1" customWidth="1"/>
    <col min="2" max="2" width="4.140625" style="1" customWidth="1"/>
    <col min="3" max="3" width="2.42578125" style="1" customWidth="1"/>
    <col min="4" max="4" width="39.140625" style="1" customWidth="1"/>
    <col min="5" max="5" width="9.42578125" style="1" customWidth="1"/>
    <col min="6" max="6" width="20.85546875" style="1" customWidth="1"/>
    <col min="7" max="7" width="33.42578125" style="1" customWidth="1"/>
    <col min="8" max="8" width="20.85546875" style="1" customWidth="1"/>
    <col min="9" max="9" width="9.5703125" style="1" customWidth="1"/>
    <col min="10" max="10" width="20.85546875" style="1" customWidth="1"/>
    <col min="11" max="11" width="23.85546875" style="1" customWidth="1"/>
    <col min="12" max="12" width="6.28515625" style="1" customWidth="1"/>
    <col min="13" max="13" width="3.28515625" style="1" customWidth="1"/>
    <col min="14" max="14" width="9.140625" style="1"/>
    <col min="15" max="15" width="26.5703125" style="1" customWidth="1"/>
    <col min="16" max="16" width="9.140625" style="1"/>
    <col min="17" max="17" width="26.28515625" style="1" customWidth="1"/>
    <col min="18" max="18" width="5.5703125" style="1" customWidth="1"/>
    <col min="19" max="20" width="9.140625" style="1"/>
    <col min="21" max="21" width="3.28515625" style="1" customWidth="1"/>
    <col min="22" max="23" width="5.7109375" style="1" customWidth="1"/>
    <col min="24" max="24" width="22.42578125" style="1" customWidth="1"/>
    <col min="25" max="25" width="11.85546875" style="1" customWidth="1"/>
    <col min="26" max="26" width="32.42578125" style="1" customWidth="1"/>
    <col min="27" max="30" width="9.140625" style="1"/>
    <col min="31" max="32" width="9.140625" style="1" customWidth="1"/>
    <col min="33" max="33" width="5.85546875" style="1" customWidth="1"/>
    <col min="34" max="40" width="9.140625" style="1"/>
    <col min="41" max="41" width="10.28515625" style="1" bestFit="1" customWidth="1"/>
    <col min="42" max="42" width="16.42578125" style="1" customWidth="1"/>
    <col min="43" max="43" width="9.140625" style="1"/>
    <col min="44" max="44" width="13.85546875" style="1" customWidth="1"/>
    <col min="45" max="45" width="15" style="1" bestFit="1" customWidth="1"/>
    <col min="46" max="16384" width="9.140625" style="1"/>
  </cols>
  <sheetData>
    <row r="1" spans="2:34" ht="15.75" thickBot="1" x14ac:dyDescent="0.3"/>
    <row r="2" spans="2:34" ht="15.75" thickBot="1" x14ac:dyDescent="0.3">
      <c r="B2" s="562"/>
      <c r="C2" s="563"/>
      <c r="D2" s="563"/>
      <c r="E2" s="563"/>
      <c r="F2" s="563"/>
      <c r="G2" s="563"/>
      <c r="H2" s="563"/>
      <c r="I2" s="563"/>
      <c r="J2" s="563"/>
      <c r="K2" s="563"/>
      <c r="L2" s="563"/>
      <c r="M2" s="563"/>
      <c r="N2" s="563"/>
      <c r="O2" s="563"/>
      <c r="P2" s="563"/>
      <c r="Q2" s="563"/>
      <c r="R2" s="563"/>
      <c r="S2" s="563"/>
      <c r="T2" s="563"/>
      <c r="U2" s="563"/>
      <c r="V2" s="563"/>
      <c r="W2" s="563"/>
      <c r="X2" s="563"/>
      <c r="Y2" s="563"/>
      <c r="Z2" s="563"/>
      <c r="AA2" s="563"/>
      <c r="AB2" s="563"/>
      <c r="AC2" s="563"/>
      <c r="AD2" s="563"/>
      <c r="AE2" s="563"/>
      <c r="AF2" s="563"/>
      <c r="AG2" s="563"/>
      <c r="AH2" s="564"/>
    </row>
    <row r="3" spans="2:34" x14ac:dyDescent="0.25">
      <c r="B3" s="565"/>
      <c r="C3" s="588"/>
      <c r="D3" s="589"/>
      <c r="E3" s="589"/>
      <c r="F3" s="589"/>
      <c r="G3" s="589"/>
      <c r="H3" s="589"/>
      <c r="I3" s="589"/>
      <c r="J3" s="589"/>
      <c r="K3" s="589"/>
      <c r="L3" s="590"/>
      <c r="M3" s="566"/>
      <c r="N3" s="559"/>
      <c r="O3" s="560"/>
      <c r="P3" s="560"/>
      <c r="Q3" s="560"/>
      <c r="R3" s="560"/>
      <c r="S3" s="560"/>
      <c r="T3" s="561"/>
      <c r="U3" s="566"/>
      <c r="V3" s="152"/>
      <c r="W3" s="153"/>
      <c r="X3" s="153"/>
      <c r="Y3" s="153"/>
      <c r="Z3" s="153"/>
      <c r="AA3" s="153"/>
      <c r="AB3" s="153"/>
      <c r="AC3" s="153"/>
      <c r="AD3" s="153"/>
      <c r="AE3" s="153"/>
      <c r="AF3" s="153"/>
      <c r="AG3" s="154"/>
      <c r="AH3" s="567"/>
    </row>
    <row r="4" spans="2:34" ht="23.25" x14ac:dyDescent="0.35">
      <c r="B4" s="565"/>
      <c r="C4" s="591"/>
      <c r="D4" s="594" t="s">
        <v>58</v>
      </c>
      <c r="E4" s="592"/>
      <c r="F4" s="592"/>
      <c r="G4" s="592"/>
      <c r="H4" s="592"/>
      <c r="I4" s="592"/>
      <c r="J4" s="592"/>
      <c r="K4" s="592"/>
      <c r="L4" s="593"/>
      <c r="M4" s="566"/>
      <c r="N4" s="596" t="s">
        <v>125</v>
      </c>
      <c r="T4" s="6"/>
      <c r="U4" s="566"/>
      <c r="V4" s="138"/>
      <c r="W4" s="389" t="s">
        <v>62</v>
      </c>
      <c r="X4" s="290"/>
      <c r="Y4" s="290"/>
      <c r="Z4" s="290"/>
      <c r="AA4" s="130"/>
      <c r="AB4" s="130"/>
      <c r="AC4" s="130"/>
      <c r="AD4" s="130"/>
      <c r="AE4" s="130"/>
      <c r="AF4" s="130"/>
      <c r="AG4" s="155"/>
      <c r="AH4" s="567"/>
    </row>
    <row r="5" spans="2:34" ht="15.75" x14ac:dyDescent="0.25">
      <c r="B5" s="565"/>
      <c r="C5" s="138"/>
      <c r="D5" s="48"/>
      <c r="E5" s="47"/>
      <c r="F5" s="47"/>
      <c r="G5" s="47"/>
      <c r="H5" s="47"/>
      <c r="I5" s="47"/>
      <c r="J5" s="47"/>
      <c r="K5" s="130"/>
      <c r="L5" s="155"/>
      <c r="M5" s="566"/>
      <c r="N5" s="5"/>
      <c r="T5" s="6"/>
      <c r="U5" s="566"/>
      <c r="V5" s="138"/>
      <c r="W5" s="169" t="s">
        <v>162</v>
      </c>
      <c r="X5" s="169"/>
      <c r="Y5" s="390"/>
      <c r="Z5" s="169" t="s">
        <v>439</v>
      </c>
      <c r="AA5" s="498"/>
      <c r="AB5" s="498"/>
      <c r="AC5" s="130"/>
      <c r="AD5" s="130"/>
      <c r="AE5" s="130"/>
      <c r="AF5" s="130"/>
      <c r="AG5" s="155"/>
      <c r="AH5" s="567"/>
    </row>
    <row r="6" spans="2:34" ht="16.5" thickBot="1" x14ac:dyDescent="0.3">
      <c r="B6" s="565"/>
      <c r="C6" s="138"/>
      <c r="D6" s="52"/>
      <c r="E6" s="54"/>
      <c r="F6" s="55" t="s">
        <v>72</v>
      </c>
      <c r="G6" s="55"/>
      <c r="H6" s="55" t="s">
        <v>167</v>
      </c>
      <c r="I6" s="54"/>
      <c r="J6" s="52"/>
      <c r="K6" s="510"/>
      <c r="L6" s="156"/>
      <c r="M6" s="566"/>
      <c r="N6" s="5"/>
      <c r="T6" s="6"/>
      <c r="U6" s="566"/>
      <c r="V6" s="138"/>
      <c r="W6" s="130"/>
      <c r="X6" s="499" t="s">
        <v>348</v>
      </c>
      <c r="Y6" s="391">
        <v>225</v>
      </c>
      <c r="Z6" s="130">
        <v>200</v>
      </c>
      <c r="AA6" s="130"/>
      <c r="AB6" s="130"/>
      <c r="AC6" s="130"/>
      <c r="AD6" s="130"/>
      <c r="AE6" s="130"/>
      <c r="AF6" s="130"/>
      <c r="AG6" s="155"/>
      <c r="AH6" s="567"/>
    </row>
    <row r="7" spans="2:34" ht="16.5" thickBot="1" x14ac:dyDescent="0.3">
      <c r="B7" s="565"/>
      <c r="C7" s="138"/>
      <c r="D7" s="52" t="s">
        <v>111</v>
      </c>
      <c r="E7" s="56" t="s">
        <v>113</v>
      </c>
      <c r="F7" s="81"/>
      <c r="G7" s="81"/>
      <c r="H7" s="61">
        <f>2*'Input og output'!H19</f>
        <v>4</v>
      </c>
      <c r="I7" s="54"/>
      <c r="J7" s="52"/>
      <c r="K7" s="510"/>
      <c r="L7" s="156"/>
      <c r="M7" s="566"/>
      <c r="N7" s="5"/>
      <c r="T7" s="6"/>
      <c r="U7" s="566"/>
      <c r="V7" s="138"/>
      <c r="W7" s="130">
        <v>225</v>
      </c>
      <c r="X7" s="499" t="s">
        <v>349</v>
      </c>
      <c r="Y7" s="391">
        <v>350</v>
      </c>
      <c r="Z7" s="130">
        <v>250</v>
      </c>
      <c r="AA7" s="130"/>
      <c r="AB7" s="130"/>
      <c r="AC7" s="130"/>
      <c r="AD7" s="130"/>
      <c r="AE7" s="130"/>
      <c r="AF7" s="130"/>
      <c r="AG7" s="155"/>
      <c r="AH7" s="567"/>
    </row>
    <row r="8" spans="2:34" ht="16.5" thickBot="1" x14ac:dyDescent="0.3">
      <c r="B8" s="565"/>
      <c r="C8" s="138"/>
      <c r="D8" s="54" t="s">
        <v>59</v>
      </c>
      <c r="E8" s="56" t="s">
        <v>66</v>
      </c>
      <c r="F8" s="54" t="s">
        <v>79</v>
      </c>
      <c r="G8" s="54"/>
      <c r="H8" s="61">
        <f>'Input og output'!H13</f>
        <v>500</v>
      </c>
      <c r="I8" s="54" t="s">
        <v>60</v>
      </c>
      <c r="J8" s="52"/>
      <c r="K8" s="510"/>
      <c r="L8" s="156"/>
      <c r="M8" s="566"/>
      <c r="N8" s="5"/>
      <c r="T8" s="6"/>
      <c r="U8" s="566"/>
      <c r="V8" s="138"/>
      <c r="W8" s="130">
        <v>350</v>
      </c>
      <c r="X8" s="499" t="s">
        <v>350</v>
      </c>
      <c r="Y8" s="391">
        <v>700</v>
      </c>
      <c r="Z8" s="130">
        <v>350</v>
      </c>
      <c r="AA8" s="130"/>
      <c r="AB8" s="130"/>
      <c r="AC8" s="130"/>
      <c r="AD8" s="130"/>
      <c r="AE8" s="130"/>
      <c r="AF8" s="130"/>
      <c r="AG8" s="155"/>
      <c r="AH8" s="567"/>
    </row>
    <row r="9" spans="2:34" ht="15.75" x14ac:dyDescent="0.25">
      <c r="B9" s="565"/>
      <c r="C9" s="138"/>
      <c r="D9" s="54" t="s">
        <v>61</v>
      </c>
      <c r="E9" s="56" t="s">
        <v>67</v>
      </c>
      <c r="F9" s="54" t="s">
        <v>73</v>
      </c>
      <c r="G9" s="54"/>
      <c r="H9" s="54">
        <f>IF(H8&lt;Y15,Z15,IF(AND(W16&lt;=H8,H8&lt;=Y16),Z16,IF(AND(W17&lt;H8,H8&lt;=Y17),Z17,IF(W17&lt;H8,Z17,0))))</f>
        <v>200</v>
      </c>
      <c r="I9" s="54" t="s">
        <v>60</v>
      </c>
      <c r="J9" s="52"/>
      <c r="K9" s="510"/>
      <c r="L9" s="156"/>
      <c r="M9" s="566"/>
      <c r="N9" s="5"/>
      <c r="T9" s="6"/>
      <c r="U9" s="566"/>
      <c r="V9" s="138"/>
      <c r="W9" s="130">
        <v>700</v>
      </c>
      <c r="X9" s="499" t="s">
        <v>350</v>
      </c>
      <c r="Y9" s="391">
        <v>1200</v>
      </c>
      <c r="Z9" s="130">
        <v>425</v>
      </c>
      <c r="AA9" s="130"/>
      <c r="AB9" s="130"/>
      <c r="AC9" s="130"/>
      <c r="AD9" s="130"/>
      <c r="AE9" s="130"/>
      <c r="AF9" s="130"/>
      <c r="AG9" s="155"/>
      <c r="AH9" s="567"/>
    </row>
    <row r="10" spans="2:34" ht="15.75" x14ac:dyDescent="0.25">
      <c r="B10" s="565"/>
      <c r="C10" s="138"/>
      <c r="D10" s="54" t="s">
        <v>63</v>
      </c>
      <c r="E10" s="56" t="s">
        <v>65</v>
      </c>
      <c r="F10" s="54" t="s">
        <v>73</v>
      </c>
      <c r="G10" s="54"/>
      <c r="H10" s="54">
        <v>300</v>
      </c>
      <c r="I10" s="54" t="s">
        <v>60</v>
      </c>
      <c r="J10" s="52"/>
      <c r="K10" s="510"/>
      <c r="L10" s="156"/>
      <c r="M10" s="566"/>
      <c r="N10" s="5"/>
      <c r="T10" s="6"/>
      <c r="U10" s="566"/>
      <c r="V10" s="138"/>
      <c r="W10" s="130">
        <v>1200</v>
      </c>
      <c r="X10" s="499" t="s">
        <v>351</v>
      </c>
      <c r="Y10" s="391"/>
      <c r="Z10" s="130">
        <v>500</v>
      </c>
      <c r="AA10" s="130"/>
      <c r="AB10" s="130"/>
      <c r="AC10" s="130"/>
      <c r="AD10" s="130"/>
      <c r="AE10" s="130"/>
      <c r="AF10" s="130"/>
      <c r="AG10" s="155"/>
      <c r="AH10" s="567"/>
    </row>
    <row r="11" spans="2:34" ht="15.75" x14ac:dyDescent="0.25">
      <c r="B11" s="565"/>
      <c r="C11" s="138"/>
      <c r="D11" s="485" t="s">
        <v>95</v>
      </c>
      <c r="E11" s="530" t="s">
        <v>94</v>
      </c>
      <c r="F11" s="485" t="s">
        <v>73</v>
      </c>
      <c r="G11" s="485"/>
      <c r="H11" s="529">
        <v>1800</v>
      </c>
      <c r="I11" s="485" t="s">
        <v>60</v>
      </c>
      <c r="J11" s="52"/>
      <c r="K11" s="510"/>
      <c r="L11" s="156"/>
      <c r="M11" s="566"/>
      <c r="N11" s="5"/>
      <c r="T11" s="6"/>
      <c r="U11" s="566"/>
      <c r="V11" s="138"/>
      <c r="W11" s="130"/>
      <c r="X11" s="53" t="s">
        <v>163</v>
      </c>
      <c r="Y11" s="130"/>
      <c r="Z11" s="130"/>
      <c r="AA11" s="130"/>
      <c r="AB11" s="130"/>
      <c r="AC11" s="130"/>
      <c r="AD11" s="130"/>
      <c r="AE11" s="130"/>
      <c r="AF11" s="130"/>
      <c r="AG11" s="155"/>
      <c r="AH11" s="567"/>
    </row>
    <row r="12" spans="2:34" ht="15.75" x14ac:dyDescent="0.25">
      <c r="B12" s="565"/>
      <c r="C12" s="138"/>
      <c r="D12" s="54"/>
      <c r="E12" s="56"/>
      <c r="F12" s="54"/>
      <c r="G12" s="54"/>
      <c r="H12" s="57"/>
      <c r="I12" s="54"/>
      <c r="J12" s="52"/>
      <c r="K12" s="510"/>
      <c r="L12" s="156"/>
      <c r="M12" s="566"/>
      <c r="N12" s="5"/>
      <c r="T12" s="6"/>
      <c r="U12" s="566"/>
      <c r="V12" s="138"/>
      <c r="W12" s="130"/>
      <c r="X12" s="53"/>
      <c r="Y12" s="130"/>
      <c r="Z12" s="130"/>
      <c r="AA12" s="130"/>
      <c r="AB12" s="130"/>
      <c r="AC12" s="130"/>
      <c r="AD12" s="130"/>
      <c r="AE12" s="130"/>
      <c r="AF12" s="130"/>
      <c r="AG12" s="155"/>
      <c r="AH12" s="567"/>
    </row>
    <row r="13" spans="2:34" ht="15.75" x14ac:dyDescent="0.25">
      <c r="B13" s="565"/>
      <c r="C13" s="138"/>
      <c r="D13" s="54" t="s">
        <v>70</v>
      </c>
      <c r="E13" s="56" t="s">
        <v>437</v>
      </c>
      <c r="F13" s="51" t="s">
        <v>329</v>
      </c>
      <c r="G13" s="54"/>
      <c r="H13" s="59">
        <f>IF(H8&lt;=Y6,Z6,IF(AND(W7&lt;H8,H8&lt;=Y7),Z7,IF(AND(W8&lt;H8,H8&lt;=Y8),Z8,IF(AND(W9&lt;H8,H8&lt;=Y9),Z9,IF(W10&lt;H8,Z10,0)))))</f>
        <v>350</v>
      </c>
      <c r="I13" s="54" t="s">
        <v>60</v>
      </c>
      <c r="J13" s="52"/>
      <c r="K13" s="510"/>
      <c r="L13" s="156"/>
      <c r="M13" s="566"/>
      <c r="N13" s="5"/>
      <c r="T13" s="6"/>
      <c r="U13" s="566"/>
      <c r="V13" s="138"/>
      <c r="W13" s="500" t="s">
        <v>61</v>
      </c>
      <c r="X13" s="53"/>
      <c r="Y13" s="130"/>
      <c r="Z13" s="130"/>
      <c r="AA13" s="130"/>
      <c r="AB13" s="130"/>
      <c r="AC13" s="130"/>
      <c r="AD13" s="130"/>
      <c r="AE13" s="130"/>
      <c r="AF13" s="130"/>
      <c r="AG13" s="155"/>
      <c r="AH13" s="567"/>
    </row>
    <row r="14" spans="2:34" ht="15.75" x14ac:dyDescent="0.25">
      <c r="B14" s="565"/>
      <c r="C14" s="138"/>
      <c r="D14" s="54" t="s">
        <v>68</v>
      </c>
      <c r="E14" s="56" t="s">
        <v>69</v>
      </c>
      <c r="F14" s="54" t="s">
        <v>438</v>
      </c>
      <c r="G14" s="54"/>
      <c r="H14" s="59">
        <f>IF((H8+2*H13-H7*H9)&lt;(K14),(K14),(H8+2*H13-H7*H9))</f>
        <v>500</v>
      </c>
      <c r="I14" s="54" t="s">
        <v>60</v>
      </c>
      <c r="J14" s="471" t="s">
        <v>434</v>
      </c>
      <c r="K14" s="511">
        <f>H8</f>
        <v>500</v>
      </c>
      <c r="L14" s="392"/>
      <c r="M14" s="566"/>
      <c r="N14" s="5"/>
      <c r="T14" s="6"/>
      <c r="U14" s="566"/>
      <c r="V14" s="138"/>
      <c r="W14" s="169" t="s">
        <v>467</v>
      </c>
      <c r="X14" s="532"/>
      <c r="Y14" s="390"/>
      <c r="Z14" s="169" t="s">
        <v>470</v>
      </c>
      <c r="AA14" s="130"/>
      <c r="AB14" s="130"/>
      <c r="AC14" s="130"/>
      <c r="AD14" s="130"/>
      <c r="AE14" s="130"/>
      <c r="AF14" s="130"/>
      <c r="AG14" s="155"/>
      <c r="AH14" s="567"/>
    </row>
    <row r="15" spans="2:34" ht="15.75" x14ac:dyDescent="0.25">
      <c r="B15" s="565"/>
      <c r="C15" s="138"/>
      <c r="D15" s="54" t="s">
        <v>64</v>
      </c>
      <c r="E15" s="56" t="s">
        <v>78</v>
      </c>
      <c r="F15" s="54" t="s">
        <v>97</v>
      </c>
      <c r="G15" s="54"/>
      <c r="H15" s="54">
        <f>H11-H10</f>
        <v>1500</v>
      </c>
      <c r="I15" s="54" t="s">
        <v>60</v>
      </c>
      <c r="J15" s="52"/>
      <c r="K15" s="510"/>
      <c r="L15" s="156"/>
      <c r="M15" s="566"/>
      <c r="N15" s="5"/>
      <c r="T15" s="6"/>
      <c r="U15" s="566"/>
      <c r="V15" s="138"/>
      <c r="W15" s="130"/>
      <c r="X15" s="499" t="s">
        <v>468</v>
      </c>
      <c r="Y15" s="391">
        <v>400</v>
      </c>
      <c r="Z15" s="130">
        <v>150</v>
      </c>
      <c r="AA15" s="130"/>
      <c r="AB15" s="130"/>
      <c r="AC15" s="130"/>
      <c r="AD15" s="130"/>
      <c r="AE15" s="130"/>
      <c r="AF15" s="130"/>
      <c r="AG15" s="155"/>
      <c r="AH15" s="567"/>
    </row>
    <row r="16" spans="2:34" ht="15.75" x14ac:dyDescent="0.25">
      <c r="B16" s="565"/>
      <c r="C16" s="138"/>
      <c r="D16" s="54" t="s">
        <v>76</v>
      </c>
      <c r="E16" s="56" t="s">
        <v>77</v>
      </c>
      <c r="F16" s="54" t="s">
        <v>98</v>
      </c>
      <c r="G16" s="54"/>
      <c r="H16" s="54">
        <f>H11+H8+H9</f>
        <v>2500</v>
      </c>
      <c r="I16" s="54" t="s">
        <v>60</v>
      </c>
      <c r="J16" s="52"/>
      <c r="K16" s="510"/>
      <c r="L16" s="156"/>
      <c r="M16" s="566"/>
      <c r="N16" s="5"/>
      <c r="T16" s="6"/>
      <c r="U16" s="566"/>
      <c r="V16" s="138"/>
      <c r="W16" s="130">
        <v>400</v>
      </c>
      <c r="X16" s="499" t="s">
        <v>469</v>
      </c>
      <c r="Y16" s="391">
        <v>1200</v>
      </c>
      <c r="Z16" s="130">
        <v>200</v>
      </c>
      <c r="AA16" s="130"/>
      <c r="AB16" s="130"/>
      <c r="AC16" s="130"/>
      <c r="AD16" s="130"/>
      <c r="AE16" s="130"/>
      <c r="AF16" s="130"/>
      <c r="AG16" s="155"/>
      <c r="AH16" s="567"/>
    </row>
    <row r="17" spans="2:44" ht="15.75" x14ac:dyDescent="0.25">
      <c r="B17" s="565"/>
      <c r="C17" s="138"/>
      <c r="D17" s="54" t="s">
        <v>74</v>
      </c>
      <c r="E17" s="56" t="s">
        <v>75</v>
      </c>
      <c r="F17" s="54" t="s">
        <v>432</v>
      </c>
      <c r="G17" s="54"/>
      <c r="H17" s="59">
        <f>H14+H7*H16</f>
        <v>10500</v>
      </c>
      <c r="I17" s="54" t="s">
        <v>60</v>
      </c>
      <c r="J17" s="52"/>
      <c r="K17" s="510"/>
      <c r="L17" s="156"/>
      <c r="M17" s="566"/>
      <c r="N17" s="5"/>
      <c r="T17" s="6"/>
      <c r="U17" s="566"/>
      <c r="V17" s="138"/>
      <c r="W17" s="130">
        <v>1200</v>
      </c>
      <c r="X17" s="499" t="s">
        <v>350</v>
      </c>
      <c r="Y17" s="391">
        <v>2000</v>
      </c>
      <c r="Z17" s="130">
        <v>250</v>
      </c>
      <c r="AA17" s="130"/>
      <c r="AB17" s="130"/>
      <c r="AC17" s="130"/>
      <c r="AD17" s="130"/>
      <c r="AE17" s="130"/>
      <c r="AF17" s="130"/>
      <c r="AG17" s="155"/>
      <c r="AH17" s="567"/>
    </row>
    <row r="18" spans="2:44" ht="16.5" thickBot="1" x14ac:dyDescent="0.3">
      <c r="B18" s="565"/>
      <c r="C18" s="138"/>
      <c r="D18" s="54" t="s">
        <v>86</v>
      </c>
      <c r="E18" s="56" t="s">
        <v>96</v>
      </c>
      <c r="F18" s="54" t="s">
        <v>114</v>
      </c>
      <c r="G18" s="54"/>
      <c r="H18" s="59">
        <f>H17-H7*H15</f>
        <v>4500</v>
      </c>
      <c r="I18" s="54" t="s">
        <v>60</v>
      </c>
      <c r="J18" s="52"/>
      <c r="K18" s="510"/>
      <c r="L18" s="156"/>
      <c r="M18" s="566"/>
      <c r="N18" s="7"/>
      <c r="O18" s="8"/>
      <c r="P18" s="8"/>
      <c r="Q18" s="8"/>
      <c r="R18" s="8"/>
      <c r="S18" s="8"/>
      <c r="T18" s="9"/>
      <c r="U18" s="566"/>
      <c r="V18" s="164"/>
      <c r="W18" s="166"/>
      <c r="X18" s="166" t="s">
        <v>471</v>
      </c>
      <c r="Y18" s="166"/>
      <c r="Z18" s="166"/>
      <c r="AA18" s="166"/>
      <c r="AB18" s="166"/>
      <c r="AC18" s="166"/>
      <c r="AD18" s="166"/>
      <c r="AE18" s="166"/>
      <c r="AF18" s="166"/>
      <c r="AG18" s="167"/>
      <c r="AH18" s="567"/>
    </row>
    <row r="19" spans="2:44" ht="16.5" thickBot="1" x14ac:dyDescent="0.3">
      <c r="B19" s="565"/>
      <c r="C19" s="138"/>
      <c r="D19" s="52" t="s">
        <v>109</v>
      </c>
      <c r="E19" s="62" t="s">
        <v>112</v>
      </c>
      <c r="F19" s="52" t="s">
        <v>110</v>
      </c>
      <c r="G19" s="52"/>
      <c r="H19" s="52">
        <v>1000000</v>
      </c>
      <c r="I19" s="54"/>
      <c r="J19" s="52"/>
      <c r="K19" s="512"/>
      <c r="L19" s="157"/>
      <c r="M19" s="573"/>
      <c r="N19" s="573"/>
      <c r="O19" s="566"/>
      <c r="P19" s="566"/>
      <c r="Q19" s="566"/>
      <c r="R19" s="566"/>
      <c r="S19" s="566"/>
      <c r="T19" s="566"/>
      <c r="U19" s="566"/>
      <c r="V19" s="566"/>
      <c r="W19" s="566"/>
      <c r="X19" s="566"/>
      <c r="Y19" s="566"/>
      <c r="Z19" s="566"/>
      <c r="AA19" s="566"/>
      <c r="AB19" s="566"/>
      <c r="AC19" s="566"/>
      <c r="AD19" s="566"/>
      <c r="AE19" s="566"/>
      <c r="AF19" s="566"/>
      <c r="AG19" s="566"/>
      <c r="AH19" s="567"/>
    </row>
    <row r="20" spans="2:44" ht="16.5" thickBot="1" x14ac:dyDescent="0.3">
      <c r="B20" s="565"/>
      <c r="C20" s="138"/>
      <c r="D20" s="234" t="s">
        <v>99</v>
      </c>
      <c r="E20" s="235" t="s">
        <v>100</v>
      </c>
      <c r="F20" s="234" t="s">
        <v>79</v>
      </c>
      <c r="G20" s="234"/>
      <c r="H20" s="63">
        <f>'Input og output'!H17</f>
        <v>500</v>
      </c>
      <c r="I20" s="234" t="s">
        <v>11</v>
      </c>
      <c r="J20" s="234"/>
      <c r="K20" s="512"/>
      <c r="L20" s="157"/>
      <c r="M20" s="573"/>
      <c r="N20" s="597"/>
      <c r="O20" s="560"/>
      <c r="P20" s="560"/>
      <c r="Q20" s="560"/>
      <c r="R20" s="560"/>
      <c r="S20" s="560"/>
      <c r="T20" s="561"/>
      <c r="U20" s="566"/>
      <c r="V20" s="152"/>
      <c r="W20" s="153"/>
      <c r="X20" s="153"/>
      <c r="Y20" s="153"/>
      <c r="Z20" s="153"/>
      <c r="AA20" s="153"/>
      <c r="AB20" s="153"/>
      <c r="AC20" s="153"/>
      <c r="AD20" s="153"/>
      <c r="AE20" s="153"/>
      <c r="AF20" s="153"/>
      <c r="AG20" s="154"/>
      <c r="AH20" s="567"/>
    </row>
    <row r="21" spans="2:44" ht="15.75" x14ac:dyDescent="0.25">
      <c r="B21" s="565"/>
      <c r="C21" s="138"/>
      <c r="D21" s="52"/>
      <c r="E21" s="65"/>
      <c r="F21" s="52"/>
      <c r="G21" s="52"/>
      <c r="H21" s="52"/>
      <c r="I21" s="52"/>
      <c r="J21" s="52"/>
      <c r="K21" s="512"/>
      <c r="L21" s="157"/>
      <c r="M21" s="573"/>
      <c r="N21" s="598"/>
      <c r="T21" s="6"/>
      <c r="U21" s="566"/>
      <c r="V21" s="138"/>
      <c r="W21" s="130"/>
      <c r="X21" s="500" t="s">
        <v>126</v>
      </c>
      <c r="Y21" s="130"/>
      <c r="Z21" s="130"/>
      <c r="AA21" s="130"/>
      <c r="AB21" s="130"/>
      <c r="AC21" s="501">
        <v>180</v>
      </c>
      <c r="AD21" s="501"/>
      <c r="AE21" s="130"/>
      <c r="AF21" s="130"/>
      <c r="AG21" s="155"/>
      <c r="AH21" s="567"/>
    </row>
    <row r="22" spans="2:44" ht="15.75" x14ac:dyDescent="0.25">
      <c r="B22" s="565"/>
      <c r="C22" s="138"/>
      <c r="D22" s="60" t="s">
        <v>91</v>
      </c>
      <c r="E22" s="62"/>
      <c r="F22" s="60" t="s">
        <v>72</v>
      </c>
      <c r="G22" s="60"/>
      <c r="H22" s="60"/>
      <c r="I22" s="60"/>
      <c r="J22" s="60" t="s">
        <v>87</v>
      </c>
      <c r="K22" s="512"/>
      <c r="L22" s="157"/>
      <c r="M22" s="573"/>
      <c r="N22" s="598"/>
      <c r="T22" s="6"/>
      <c r="U22" s="566"/>
      <c r="V22" s="138"/>
      <c r="W22" s="130"/>
      <c r="X22" s="502" t="s">
        <v>58</v>
      </c>
      <c r="Y22" s="503" t="s">
        <v>107</v>
      </c>
      <c r="Z22" s="504" t="s">
        <v>71</v>
      </c>
      <c r="AA22" s="503" t="s">
        <v>106</v>
      </c>
      <c r="AB22" s="503" t="s">
        <v>142</v>
      </c>
      <c r="AC22" s="503" t="s">
        <v>128</v>
      </c>
      <c r="AD22" s="503" t="s">
        <v>137</v>
      </c>
      <c r="AE22" s="503" t="s">
        <v>129</v>
      </c>
      <c r="AF22" s="503" t="s">
        <v>138</v>
      </c>
      <c r="AG22" s="155"/>
      <c r="AH22" s="567"/>
    </row>
    <row r="23" spans="2:44" ht="18" x14ac:dyDescent="0.25">
      <c r="B23" s="565"/>
      <c r="C23" s="138"/>
      <c r="D23" s="52" t="s">
        <v>84</v>
      </c>
      <c r="E23" s="62" t="s">
        <v>83</v>
      </c>
      <c r="F23" s="52" t="s">
        <v>345</v>
      </c>
      <c r="G23" s="52"/>
      <c r="H23" s="66">
        <f>(0.5*(H17+H18)*H15)/H19</f>
        <v>11.25</v>
      </c>
      <c r="I23" s="52" t="s">
        <v>455</v>
      </c>
      <c r="J23" s="67">
        <f>H23/H28</f>
        <v>0.82116788321167888</v>
      </c>
      <c r="K23" s="513"/>
      <c r="L23" s="158"/>
      <c r="M23" s="575"/>
      <c r="N23" s="599"/>
      <c r="T23" s="6"/>
      <c r="U23" s="566"/>
      <c r="V23" s="138"/>
      <c r="W23" s="130"/>
      <c r="X23" s="130" t="s">
        <v>287</v>
      </c>
      <c r="Y23" s="501">
        <v>1</v>
      </c>
      <c r="Z23" s="501">
        <f>'Input og output'!H19</f>
        <v>2</v>
      </c>
      <c r="AA23" s="130"/>
      <c r="AB23" s="130"/>
      <c r="AC23" s="505">
        <f>DEGREES(ABS(ATAN(Y23/Z23)))</f>
        <v>26.56505117707799</v>
      </c>
      <c r="AD23" s="506">
        <f>ABS(SIN(RADIANS((AC23))))</f>
        <v>0.44721359549995793</v>
      </c>
      <c r="AE23" s="505">
        <f>AC$21-AA24-AC23</f>
        <v>126.86989764584403</v>
      </c>
      <c r="AF23" s="506">
        <f>ABS(SIN(RADIANS(AE23)))</f>
        <v>0.79999999999999982</v>
      </c>
      <c r="AG23" s="155"/>
      <c r="AH23" s="567"/>
    </row>
    <row r="24" spans="2:44" ht="18" x14ac:dyDescent="0.25">
      <c r="B24" s="565"/>
      <c r="C24" s="138"/>
      <c r="D24" s="69" t="s">
        <v>103</v>
      </c>
      <c r="E24" s="70" t="s">
        <v>82</v>
      </c>
      <c r="F24" s="69" t="s">
        <v>346</v>
      </c>
      <c r="G24" s="69"/>
      <c r="H24" s="71">
        <f>(0.5*(H18+(H8+2*H13))*(H8+H10))/H19</f>
        <v>2.2799999999999998</v>
      </c>
      <c r="I24" s="69" t="s">
        <v>456</v>
      </c>
      <c r="J24" s="72">
        <f>H24/H28</f>
        <v>0.16642335766423358</v>
      </c>
      <c r="K24" s="514"/>
      <c r="L24" s="159"/>
      <c r="M24" s="578"/>
      <c r="N24" s="600"/>
      <c r="T24" s="6"/>
      <c r="U24" s="566"/>
      <c r="V24" s="531" t="s">
        <v>466</v>
      </c>
      <c r="W24" s="503"/>
      <c r="X24" s="130" t="s">
        <v>104</v>
      </c>
      <c r="Y24" s="501">
        <v>1</v>
      </c>
      <c r="Z24" s="501">
        <v>2</v>
      </c>
      <c r="AA24" s="505">
        <f>DEGREES(ABS(ATAN(Y24/Z24)))</f>
        <v>26.56505117707799</v>
      </c>
      <c r="AB24" s="506">
        <f>ABS(SIN(RADIANS(AA24)))</f>
        <v>0.44721359549995793</v>
      </c>
      <c r="AC24" s="507"/>
      <c r="AD24" s="506"/>
      <c r="AE24" s="505"/>
      <c r="AF24" s="506"/>
      <c r="AG24" s="155"/>
      <c r="AH24" s="567"/>
    </row>
    <row r="25" spans="2:44" ht="18" x14ac:dyDescent="0.25">
      <c r="B25" s="565"/>
      <c r="C25" s="397" t="s">
        <v>352</v>
      </c>
      <c r="D25" s="69" t="s">
        <v>93</v>
      </c>
      <c r="E25" s="70" t="s">
        <v>89</v>
      </c>
      <c r="F25" s="69" t="s">
        <v>115</v>
      </c>
      <c r="G25" s="69"/>
      <c r="H25" s="394">
        <f>(PI()*(0.5*H8)^2)/H19</f>
        <v>0.19634954084936207</v>
      </c>
      <c r="I25" s="69" t="s">
        <v>456</v>
      </c>
      <c r="J25" s="73">
        <f>H25/H28</f>
        <v>1.4332083273676063E-2</v>
      </c>
      <c r="K25" s="514"/>
      <c r="L25" s="159"/>
      <c r="M25" s="578"/>
      <c r="N25" s="600"/>
      <c r="T25" s="6"/>
      <c r="U25" s="566"/>
      <c r="V25" s="138"/>
      <c r="W25" s="130"/>
      <c r="X25" s="130" t="s">
        <v>423</v>
      </c>
      <c r="Y25" s="130"/>
      <c r="Z25" s="130"/>
      <c r="AA25" s="130"/>
      <c r="AB25" s="130"/>
      <c r="AC25" s="130"/>
      <c r="AD25" s="130"/>
      <c r="AE25" s="130"/>
      <c r="AF25" s="130"/>
      <c r="AG25" s="155"/>
      <c r="AH25" s="567"/>
    </row>
    <row r="26" spans="2:44" ht="18" x14ac:dyDescent="0.25">
      <c r="B26" s="565"/>
      <c r="C26" s="138"/>
      <c r="D26" s="54" t="s">
        <v>152</v>
      </c>
      <c r="E26" s="56" t="s">
        <v>88</v>
      </c>
      <c r="F26" s="54" t="s">
        <v>90</v>
      </c>
      <c r="G26" s="54"/>
      <c r="H26" s="58">
        <f>H24-H25</f>
        <v>2.083650459150638</v>
      </c>
      <c r="I26" s="52" t="s">
        <v>455</v>
      </c>
      <c r="J26" s="74">
        <f>H26/H28</f>
        <v>0.15209127439055753</v>
      </c>
      <c r="K26" s="515"/>
      <c r="L26" s="160"/>
      <c r="M26" s="580"/>
      <c r="N26" s="601"/>
      <c r="T26" s="6"/>
      <c r="U26" s="566"/>
      <c r="V26" s="138"/>
      <c r="W26" s="130"/>
      <c r="X26" s="130"/>
      <c r="Y26" s="501"/>
      <c r="Z26" s="501"/>
      <c r="AA26" s="507"/>
      <c r="AB26" s="508"/>
      <c r="AC26" s="505"/>
      <c r="AD26" s="506"/>
      <c r="AE26" s="505"/>
      <c r="AF26" s="506"/>
      <c r="AG26" s="155"/>
      <c r="AH26" s="567"/>
      <c r="AN26" s="131"/>
      <c r="AO26" s="131"/>
    </row>
    <row r="27" spans="2:44" ht="18" x14ac:dyDescent="0.25">
      <c r="B27" s="565"/>
      <c r="C27" s="138"/>
      <c r="D27" s="52" t="s">
        <v>80</v>
      </c>
      <c r="E27" s="62" t="s">
        <v>81</v>
      </c>
      <c r="F27" s="52" t="s">
        <v>347</v>
      </c>
      <c r="G27" s="52"/>
      <c r="H27" s="393">
        <f>(0.5*((H14+(H8+2*H13))*H9))/H19</f>
        <v>0.17</v>
      </c>
      <c r="I27" s="52" t="s">
        <v>455</v>
      </c>
      <c r="J27" s="68">
        <f>(H27/H28)</f>
        <v>1.2408759124087593E-2</v>
      </c>
      <c r="K27" s="513"/>
      <c r="L27" s="158"/>
      <c r="M27" s="575"/>
      <c r="N27" s="599"/>
      <c r="R27" s="132"/>
      <c r="T27" s="6"/>
      <c r="U27" s="566"/>
      <c r="V27" s="138"/>
      <c r="W27" s="130"/>
      <c r="X27" s="130"/>
      <c r="Y27" s="501"/>
      <c r="Z27" s="501"/>
      <c r="AA27" s="507"/>
      <c r="AB27" s="508"/>
      <c r="AC27" s="505"/>
      <c r="AD27" s="506"/>
      <c r="AE27" s="505"/>
      <c r="AF27" s="506"/>
      <c r="AG27" s="155"/>
      <c r="AH27" s="567"/>
      <c r="AM27" s="133"/>
      <c r="AN27" s="131"/>
      <c r="AO27" s="131"/>
      <c r="AP27" s="132"/>
      <c r="AQ27" s="132"/>
      <c r="AR27" s="132"/>
    </row>
    <row r="28" spans="2:44" ht="18.75" thickBot="1" x14ac:dyDescent="0.3">
      <c r="B28" s="565"/>
      <c r="C28" s="397" t="s">
        <v>352</v>
      </c>
      <c r="D28" s="234" t="s">
        <v>92</v>
      </c>
      <c r="E28" s="235" t="s">
        <v>85</v>
      </c>
      <c r="F28" s="234" t="s">
        <v>255</v>
      </c>
      <c r="G28" s="234"/>
      <c r="H28" s="472">
        <f>H23+H25+H26+H27</f>
        <v>13.7</v>
      </c>
      <c r="I28" s="234" t="s">
        <v>455</v>
      </c>
      <c r="J28" s="236">
        <f>J23+J25+J26+J27</f>
        <v>1</v>
      </c>
      <c r="K28" s="513"/>
      <c r="L28" s="158"/>
      <c r="M28" s="575"/>
      <c r="N28" s="599"/>
      <c r="T28" s="6"/>
      <c r="U28" s="566"/>
      <c r="V28" s="164"/>
      <c r="W28" s="166"/>
      <c r="X28" s="166"/>
      <c r="Y28" s="517"/>
      <c r="Z28" s="517"/>
      <c r="AA28" s="518"/>
      <c r="AB28" s="519"/>
      <c r="AC28" s="520"/>
      <c r="AD28" s="521"/>
      <c r="AE28" s="520"/>
      <c r="AF28" s="521"/>
      <c r="AG28" s="167"/>
      <c r="AH28" s="567"/>
      <c r="AM28" s="133"/>
      <c r="AN28" s="131"/>
      <c r="AO28" s="131"/>
      <c r="AP28" s="132"/>
      <c r="AQ28" s="132"/>
      <c r="AR28" s="132"/>
    </row>
    <row r="29" spans="2:44" ht="16.5" thickBot="1" x14ac:dyDescent="0.3">
      <c r="B29" s="565"/>
      <c r="C29" s="138"/>
      <c r="D29" s="52"/>
      <c r="E29" s="62"/>
      <c r="F29" s="52"/>
      <c r="G29" s="52"/>
      <c r="H29" s="484"/>
      <c r="I29" s="485"/>
      <c r="J29" s="486"/>
      <c r="K29" s="486"/>
      <c r="L29" s="487"/>
      <c r="M29" s="575"/>
      <c r="N29" s="599"/>
      <c r="T29" s="6"/>
      <c r="U29" s="566"/>
      <c r="V29" s="566"/>
      <c r="W29" s="566"/>
      <c r="X29" s="566"/>
      <c r="Y29" s="574"/>
      <c r="Z29" s="574"/>
      <c r="AA29" s="579"/>
      <c r="AB29" s="581"/>
      <c r="AC29" s="576"/>
      <c r="AD29" s="577"/>
      <c r="AE29" s="576"/>
      <c r="AF29" s="577"/>
      <c r="AG29" s="566"/>
      <c r="AH29" s="567"/>
      <c r="AM29" s="133"/>
      <c r="AN29" s="131"/>
      <c r="AO29" s="131"/>
      <c r="AP29" s="132"/>
      <c r="AQ29" s="132"/>
      <c r="AR29" s="132"/>
    </row>
    <row r="30" spans="2:44" ht="15.75" x14ac:dyDescent="0.25">
      <c r="B30" s="565"/>
      <c r="C30" s="138"/>
      <c r="D30" s="52"/>
      <c r="E30" s="62"/>
      <c r="F30" s="52"/>
      <c r="G30" s="52"/>
      <c r="H30" s="395"/>
      <c r="I30" s="396"/>
      <c r="J30" s="486"/>
      <c r="K30" s="486"/>
      <c r="L30" s="487"/>
      <c r="M30" s="575"/>
      <c r="N30" s="599"/>
      <c r="T30" s="6"/>
      <c r="U30" s="566"/>
      <c r="V30" s="152"/>
      <c r="W30" s="153"/>
      <c r="X30" s="153"/>
      <c r="Y30" s="153"/>
      <c r="Z30" s="153"/>
      <c r="AA30" s="153"/>
      <c r="AB30" s="153"/>
      <c r="AC30" s="153"/>
      <c r="AD30" s="153"/>
      <c r="AE30" s="153"/>
      <c r="AF30" s="153"/>
      <c r="AG30" s="154"/>
      <c r="AH30" s="567"/>
      <c r="AM30" s="133"/>
      <c r="AN30" s="131"/>
      <c r="AO30" s="131"/>
      <c r="AP30" s="132"/>
      <c r="AQ30" s="132"/>
      <c r="AR30" s="132"/>
    </row>
    <row r="31" spans="2:44" ht="15.75" x14ac:dyDescent="0.25">
      <c r="B31" s="565"/>
      <c r="C31" s="138"/>
      <c r="D31" s="52"/>
      <c r="E31" s="65"/>
      <c r="F31" s="52"/>
      <c r="G31" s="52"/>
      <c r="H31" s="66"/>
      <c r="I31" s="52"/>
      <c r="J31" s="486"/>
      <c r="K31" s="486"/>
      <c r="L31" s="487"/>
      <c r="M31" s="575"/>
      <c r="N31" s="599"/>
      <c r="T31" s="6"/>
      <c r="U31" s="566"/>
      <c r="V31" s="138"/>
      <c r="W31" s="130"/>
      <c r="X31" s="500" t="s">
        <v>130</v>
      </c>
      <c r="Y31" s="130"/>
      <c r="Z31" s="130"/>
      <c r="AA31" s="130"/>
      <c r="AB31" s="130"/>
      <c r="AC31" s="130"/>
      <c r="AD31" s="130"/>
      <c r="AE31" s="130"/>
      <c r="AF31" s="130"/>
      <c r="AG31" s="155"/>
      <c r="AH31" s="567"/>
      <c r="AM31" s="133"/>
      <c r="AN31" s="131"/>
      <c r="AO31" s="131"/>
      <c r="AP31" s="132"/>
      <c r="AQ31" s="132"/>
      <c r="AR31" s="132"/>
    </row>
    <row r="32" spans="2:44" ht="15.75" x14ac:dyDescent="0.25">
      <c r="B32" s="565"/>
      <c r="C32" s="138"/>
      <c r="D32" s="65" t="s">
        <v>123</v>
      </c>
      <c r="E32" s="62"/>
      <c r="F32" s="52"/>
      <c r="G32" s="52"/>
      <c r="H32" s="66"/>
      <c r="I32" s="52"/>
      <c r="J32" s="486"/>
      <c r="K32" s="486"/>
      <c r="L32" s="487"/>
      <c r="M32" s="582"/>
      <c r="N32" s="602"/>
      <c r="T32" s="6"/>
      <c r="U32" s="566"/>
      <c r="V32" s="138"/>
      <c r="W32" s="130"/>
      <c r="X32" s="130" t="s">
        <v>131</v>
      </c>
      <c r="Y32" s="130"/>
      <c r="Z32" s="130"/>
      <c r="AA32" s="130"/>
      <c r="AB32" s="130"/>
      <c r="AC32" s="130"/>
      <c r="AD32" s="130"/>
      <c r="AE32" s="130"/>
      <c r="AF32" s="130"/>
      <c r="AG32" s="155"/>
      <c r="AH32" s="567"/>
      <c r="AM32" s="133"/>
      <c r="AN32" s="131"/>
      <c r="AO32" s="131"/>
      <c r="AP32" s="132"/>
      <c r="AQ32" s="132"/>
      <c r="AR32" s="132"/>
    </row>
    <row r="33" spans="2:49" ht="17.25" x14ac:dyDescent="0.3">
      <c r="B33" s="565"/>
      <c r="C33" s="138"/>
      <c r="D33" s="60" t="s">
        <v>124</v>
      </c>
      <c r="E33" s="62"/>
      <c r="F33" s="52"/>
      <c r="G33" s="52"/>
      <c r="H33" s="66"/>
      <c r="I33" s="52"/>
      <c r="J33" s="67"/>
      <c r="K33" s="510"/>
      <c r="L33" s="156"/>
      <c r="M33" s="566"/>
      <c r="N33" s="5"/>
      <c r="T33" s="6"/>
      <c r="U33" s="566"/>
      <c r="V33" s="138"/>
      <c r="W33" s="130"/>
      <c r="X33" s="130"/>
      <c r="Y33" s="130"/>
      <c r="Z33" s="130"/>
      <c r="AA33" s="130"/>
      <c r="AB33" s="130"/>
      <c r="AC33" s="130"/>
      <c r="AD33" s="130"/>
      <c r="AE33" s="130"/>
      <c r="AF33" s="130"/>
      <c r="AG33" s="155"/>
      <c r="AH33" s="567"/>
      <c r="AM33" s="133"/>
      <c r="AN33" s="131"/>
      <c r="AO33" s="131"/>
      <c r="AP33" s="132"/>
      <c r="AQ33" s="132"/>
      <c r="AR33" s="132"/>
      <c r="AW33" s="134"/>
    </row>
    <row r="34" spans="2:49" ht="15.75" x14ac:dyDescent="0.25">
      <c r="B34" s="565"/>
      <c r="C34" s="138"/>
      <c r="D34" s="75" t="s">
        <v>134</v>
      </c>
      <c r="E34" s="62" t="s">
        <v>108</v>
      </c>
      <c r="F34" s="77" t="s">
        <v>135</v>
      </c>
      <c r="G34" s="77"/>
      <c r="H34" s="77">
        <f>(H18-AA$41)/2</f>
        <v>2120.1626123751157</v>
      </c>
      <c r="I34" s="52" t="s">
        <v>60</v>
      </c>
      <c r="J34" s="52"/>
      <c r="K34" s="510"/>
      <c r="L34" s="156"/>
      <c r="M34" s="566"/>
      <c r="N34" s="5"/>
      <c r="T34" s="6"/>
      <c r="U34" s="566"/>
      <c r="V34" s="138"/>
      <c r="W34" s="130"/>
      <c r="X34" s="47" t="s">
        <v>59</v>
      </c>
      <c r="Y34" s="49" t="s">
        <v>66</v>
      </c>
      <c r="Z34" s="47" t="s">
        <v>79</v>
      </c>
      <c r="AA34" s="47">
        <f>H8</f>
        <v>500</v>
      </c>
      <c r="AB34" s="47"/>
      <c r="AC34" s="47" t="s">
        <v>60</v>
      </c>
      <c r="AD34" s="47"/>
      <c r="AE34" s="130"/>
      <c r="AF34" s="130"/>
      <c r="AG34" s="155"/>
      <c r="AH34" s="567"/>
      <c r="AM34" s="133"/>
      <c r="AN34" s="131"/>
      <c r="AO34" s="131"/>
      <c r="AP34" s="132"/>
      <c r="AQ34" s="132"/>
      <c r="AR34" s="132"/>
    </row>
    <row r="35" spans="2:49" ht="15.75" x14ac:dyDescent="0.25">
      <c r="B35" s="565"/>
      <c r="C35" s="138"/>
      <c r="D35" s="52" t="s">
        <v>136</v>
      </c>
      <c r="E35" s="62" t="s">
        <v>11</v>
      </c>
      <c r="F35" s="52" t="s">
        <v>243</v>
      </c>
      <c r="G35" s="52"/>
      <c r="H35" s="77">
        <f>AD23*(H34/AF23)</f>
        <v>1185.206931156074</v>
      </c>
      <c r="I35" s="52" t="s">
        <v>60</v>
      </c>
      <c r="J35" s="52"/>
      <c r="K35" s="510"/>
      <c r="L35" s="156"/>
      <c r="M35" s="566"/>
      <c r="N35" s="5"/>
      <c r="T35" s="6"/>
      <c r="U35" s="566"/>
      <c r="V35" s="138"/>
      <c r="W35" s="130"/>
      <c r="X35" s="130" t="s">
        <v>63</v>
      </c>
      <c r="Y35" s="500" t="s">
        <v>65</v>
      </c>
      <c r="Z35" s="130" t="s">
        <v>73</v>
      </c>
      <c r="AA35" s="130">
        <f>H10</f>
        <v>300</v>
      </c>
      <c r="AB35" s="130"/>
      <c r="AC35" s="130" t="s">
        <v>60</v>
      </c>
      <c r="AD35" s="130"/>
      <c r="AE35" s="130"/>
      <c r="AF35" s="130"/>
      <c r="AG35" s="155"/>
      <c r="AH35" s="567"/>
      <c r="AM35" s="133"/>
      <c r="AN35" s="131"/>
      <c r="AO35" s="131"/>
      <c r="AP35" s="132"/>
      <c r="AQ35" s="132"/>
      <c r="AR35" s="132"/>
    </row>
    <row r="36" spans="2:49" ht="18.75" thickBot="1" x14ac:dyDescent="0.3">
      <c r="B36" s="565"/>
      <c r="C36" s="138"/>
      <c r="D36" s="234" t="s">
        <v>427</v>
      </c>
      <c r="E36" s="235" t="s">
        <v>139</v>
      </c>
      <c r="F36" s="212" t="s">
        <v>433</v>
      </c>
      <c r="G36" s="212"/>
      <c r="H36" s="470">
        <f>(0.5*(H34*H35*AB24)*2)/H19</f>
        <v>1.1237723757283189</v>
      </c>
      <c r="I36" s="234" t="s">
        <v>455</v>
      </c>
      <c r="J36" s="241">
        <f>H36/H43</f>
        <v>8.2027180710096279E-2</v>
      </c>
      <c r="K36" s="510"/>
      <c r="L36" s="156"/>
      <c r="M36" s="566"/>
      <c r="N36" s="7"/>
      <c r="O36" s="8"/>
      <c r="P36" s="8"/>
      <c r="Q36" s="8"/>
      <c r="R36" s="8"/>
      <c r="S36" s="8"/>
      <c r="T36" s="9"/>
      <c r="U36" s="566"/>
      <c r="V36" s="138"/>
      <c r="W36" s="130"/>
      <c r="X36" s="130" t="s">
        <v>336</v>
      </c>
      <c r="Y36" s="500" t="s">
        <v>332</v>
      </c>
      <c r="Z36" s="130" t="s">
        <v>337</v>
      </c>
      <c r="AA36" s="130">
        <f>AA34/2</f>
        <v>250</v>
      </c>
      <c r="AB36" s="130"/>
      <c r="AC36" s="130" t="s">
        <v>60</v>
      </c>
      <c r="AD36" s="130"/>
      <c r="AE36" s="130"/>
      <c r="AF36" s="130"/>
      <c r="AG36" s="155"/>
      <c r="AH36" s="567"/>
    </row>
    <row r="37" spans="2:49" ht="15.75" thickBot="1" x14ac:dyDescent="0.3">
      <c r="B37" s="565"/>
      <c r="C37" s="138"/>
      <c r="D37" s="130"/>
      <c r="E37" s="130"/>
      <c r="F37" s="130"/>
      <c r="G37" s="130"/>
      <c r="H37" s="130"/>
      <c r="I37" s="130"/>
      <c r="J37" s="130"/>
      <c r="K37" s="510"/>
      <c r="L37" s="156"/>
      <c r="M37" s="566"/>
      <c r="N37" s="566"/>
      <c r="O37" s="566"/>
      <c r="P37" s="566"/>
      <c r="Q37" s="566"/>
      <c r="R37" s="566"/>
      <c r="S37" s="566"/>
      <c r="T37" s="566"/>
      <c r="U37" s="566"/>
      <c r="V37" s="138"/>
      <c r="W37" s="130"/>
      <c r="X37" s="130" t="s">
        <v>330</v>
      </c>
      <c r="Y37" s="500" t="s">
        <v>331</v>
      </c>
      <c r="Z37" s="130" t="s">
        <v>338</v>
      </c>
      <c r="AA37" s="130">
        <f>AA35+AA36</f>
        <v>550</v>
      </c>
      <c r="AB37" s="130"/>
      <c r="AC37" s="130" t="s">
        <v>60</v>
      </c>
      <c r="AD37" s="130"/>
      <c r="AE37" s="130"/>
      <c r="AF37" s="130"/>
      <c r="AG37" s="155"/>
      <c r="AH37" s="567"/>
    </row>
    <row r="38" spans="2:49" ht="15.75" x14ac:dyDescent="0.25">
      <c r="B38" s="565"/>
      <c r="C38" s="138"/>
      <c r="D38" s="60" t="s">
        <v>265</v>
      </c>
      <c r="E38" s="130"/>
      <c r="F38" s="130"/>
      <c r="G38" s="130"/>
      <c r="H38" s="130"/>
      <c r="I38" s="130"/>
      <c r="J38" s="130"/>
      <c r="K38" s="510"/>
      <c r="L38" s="156"/>
      <c r="M38" s="566"/>
      <c r="N38" s="559"/>
      <c r="O38" s="560"/>
      <c r="P38" s="560"/>
      <c r="Q38" s="560"/>
      <c r="R38" s="560"/>
      <c r="S38" s="560"/>
      <c r="T38" s="561"/>
      <c r="U38" s="566"/>
      <c r="V38" s="138"/>
      <c r="W38" s="130"/>
      <c r="X38" s="130" t="s">
        <v>335</v>
      </c>
      <c r="Y38" s="500" t="s">
        <v>334</v>
      </c>
      <c r="Z38" s="130" t="s">
        <v>339</v>
      </c>
      <c r="AA38" s="130">
        <f>(AA36+AA35)/2</f>
        <v>275</v>
      </c>
      <c r="AB38" s="130"/>
      <c r="AC38" s="130" t="s">
        <v>60</v>
      </c>
      <c r="AD38" s="130"/>
      <c r="AE38" s="130"/>
      <c r="AF38" s="130"/>
      <c r="AG38" s="155"/>
      <c r="AH38" s="567"/>
    </row>
    <row r="39" spans="2:49" ht="18" x14ac:dyDescent="0.25">
      <c r="B39" s="565"/>
      <c r="C39" s="138"/>
      <c r="D39" s="52" t="s">
        <v>146</v>
      </c>
      <c r="E39" s="62" t="s">
        <v>147</v>
      </c>
      <c r="F39" s="52" t="s">
        <v>148</v>
      </c>
      <c r="G39" s="52"/>
      <c r="H39" s="66">
        <f>H23+H36</f>
        <v>12.373772375728318</v>
      </c>
      <c r="I39" s="52" t="s">
        <v>455</v>
      </c>
      <c r="J39" s="67">
        <f>H39/H43</f>
        <v>0.90319506392177507</v>
      </c>
      <c r="K39" s="510"/>
      <c r="L39" s="156"/>
      <c r="M39" s="566"/>
      <c r="N39" s="5"/>
      <c r="T39" s="6"/>
      <c r="U39" s="566"/>
      <c r="V39" s="138"/>
      <c r="W39" s="130"/>
      <c r="X39" s="130" t="s">
        <v>340</v>
      </c>
      <c r="Y39" s="500" t="s">
        <v>333</v>
      </c>
      <c r="Z39" s="130" t="s">
        <v>422</v>
      </c>
      <c r="AA39" s="249">
        <f>SQRT((AA37^2)+(AA38^2))</f>
        <v>614.91869381244214</v>
      </c>
      <c r="AB39" s="130"/>
      <c r="AC39" s="130" t="s">
        <v>60</v>
      </c>
      <c r="AD39" s="130"/>
      <c r="AE39" s="130"/>
      <c r="AF39" s="130"/>
      <c r="AG39" s="155"/>
      <c r="AH39" s="567"/>
      <c r="AP39" s="132"/>
    </row>
    <row r="40" spans="2:49" ht="18" x14ac:dyDescent="0.25">
      <c r="B40" s="565"/>
      <c r="C40" s="397" t="s">
        <v>352</v>
      </c>
      <c r="D40" s="69" t="s">
        <v>93</v>
      </c>
      <c r="E40" s="70" t="s">
        <v>89</v>
      </c>
      <c r="F40" s="69"/>
      <c r="G40" s="69"/>
      <c r="H40" s="71">
        <f>H25</f>
        <v>0.19634954084936207</v>
      </c>
      <c r="I40" s="69" t="s">
        <v>456</v>
      </c>
      <c r="J40" s="73">
        <f>H40/H43</f>
        <v>1.4332083273676063E-2</v>
      </c>
      <c r="K40" s="510"/>
      <c r="L40" s="156"/>
      <c r="M40" s="566"/>
      <c r="N40" s="5"/>
      <c r="T40" s="6"/>
      <c r="U40" s="566"/>
      <c r="V40" s="138"/>
      <c r="W40" s="130"/>
      <c r="X40" s="130" t="s">
        <v>132</v>
      </c>
      <c r="Y40" s="500" t="s">
        <v>105</v>
      </c>
      <c r="Z40" s="47" t="s">
        <v>341</v>
      </c>
      <c r="AA40" s="249">
        <f>AA39-AA35-AA36</f>
        <v>64.918693812442143</v>
      </c>
      <c r="AB40" s="130"/>
      <c r="AC40" s="130" t="s">
        <v>60</v>
      </c>
      <c r="AD40" s="130"/>
      <c r="AE40" s="130"/>
      <c r="AF40" s="130"/>
      <c r="AG40" s="155"/>
      <c r="AH40" s="567"/>
      <c r="AP40" s="132"/>
    </row>
    <row r="41" spans="2:49" ht="18" x14ac:dyDescent="0.25">
      <c r="B41" s="565"/>
      <c r="C41" s="138"/>
      <c r="D41" s="54" t="s">
        <v>267</v>
      </c>
      <c r="E41" s="56" t="s">
        <v>144</v>
      </c>
      <c r="F41" s="54" t="s">
        <v>145</v>
      </c>
      <c r="G41" s="54"/>
      <c r="H41" s="58">
        <f>H26-H36</f>
        <v>0.95987808342231906</v>
      </c>
      <c r="I41" s="52" t="s">
        <v>455</v>
      </c>
      <c r="J41" s="74">
        <f>H41/H43</f>
        <v>7.0064093680461251E-2</v>
      </c>
      <c r="K41" s="510"/>
      <c r="L41" s="156"/>
      <c r="M41" s="566"/>
      <c r="N41" s="5"/>
      <c r="T41" s="6"/>
      <c r="U41" s="566"/>
      <c r="V41" s="138"/>
      <c r="W41" s="130"/>
      <c r="X41" s="130" t="s">
        <v>133</v>
      </c>
      <c r="Y41" s="500" t="s">
        <v>127</v>
      </c>
      <c r="Z41" s="130" t="s">
        <v>244</v>
      </c>
      <c r="AA41" s="249">
        <f>2*(AA40/TAN(RADIANS(AA24)))</f>
        <v>259.67477524976863</v>
      </c>
      <c r="AB41" s="249"/>
      <c r="AC41" s="130" t="s">
        <v>60</v>
      </c>
      <c r="AD41" s="130"/>
      <c r="AE41" s="130"/>
      <c r="AF41" s="130"/>
      <c r="AG41" s="155"/>
      <c r="AH41" s="567"/>
      <c r="AP41" s="132"/>
    </row>
    <row r="42" spans="2:49" ht="18" x14ac:dyDescent="0.25">
      <c r="B42" s="565"/>
      <c r="C42" s="138"/>
      <c r="D42" s="52" t="s">
        <v>80</v>
      </c>
      <c r="E42" s="62" t="s">
        <v>81</v>
      </c>
      <c r="F42" s="52" t="s">
        <v>266</v>
      </c>
      <c r="G42" s="52"/>
      <c r="H42" s="66">
        <f>H27</f>
        <v>0.17</v>
      </c>
      <c r="I42" s="52" t="s">
        <v>455</v>
      </c>
      <c r="J42" s="68">
        <f>J27</f>
        <v>1.2408759124087593E-2</v>
      </c>
      <c r="K42" s="510"/>
      <c r="L42" s="156"/>
      <c r="M42" s="566"/>
      <c r="N42" s="5"/>
      <c r="T42" s="6"/>
      <c r="U42" s="566"/>
      <c r="V42" s="138"/>
      <c r="W42" s="130"/>
      <c r="X42" s="130"/>
      <c r="Y42" s="130"/>
      <c r="Z42" s="130"/>
      <c r="AA42" s="130"/>
      <c r="AB42" s="130"/>
      <c r="AC42" s="130"/>
      <c r="AD42" s="130"/>
      <c r="AE42" s="130"/>
      <c r="AF42" s="130"/>
      <c r="AG42" s="155"/>
      <c r="AH42" s="567"/>
      <c r="AN42" s="133"/>
      <c r="AP42" s="132"/>
      <c r="AS42" s="132"/>
    </row>
    <row r="43" spans="2:49" ht="18.75" thickBot="1" x14ac:dyDescent="0.3">
      <c r="B43" s="565"/>
      <c r="C43" s="397" t="s">
        <v>352</v>
      </c>
      <c r="D43" s="234" t="s">
        <v>149</v>
      </c>
      <c r="E43" s="235" t="s">
        <v>85</v>
      </c>
      <c r="F43" s="234"/>
      <c r="G43" s="234"/>
      <c r="H43" s="472">
        <f>SUM(H39:H42)</f>
        <v>13.7</v>
      </c>
      <c r="I43" s="234" t="s">
        <v>455</v>
      </c>
      <c r="J43" s="236">
        <f>SUM(J39:J42)</f>
        <v>1</v>
      </c>
      <c r="K43" s="510"/>
      <c r="L43" s="156"/>
      <c r="M43" s="566"/>
      <c r="N43" s="5"/>
      <c r="T43" s="6"/>
      <c r="U43" s="566"/>
      <c r="V43" s="138"/>
      <c r="W43" s="130"/>
      <c r="X43" s="47"/>
      <c r="Y43" s="130"/>
      <c r="Z43" s="130"/>
      <c r="AA43" s="130"/>
      <c r="AB43" s="130"/>
      <c r="AC43" s="130"/>
      <c r="AD43" s="130"/>
      <c r="AE43" s="130"/>
      <c r="AF43" s="130"/>
      <c r="AG43" s="155"/>
      <c r="AH43" s="567"/>
      <c r="AN43" s="133"/>
      <c r="AP43" s="132"/>
      <c r="AS43" s="132"/>
    </row>
    <row r="44" spans="2:49" x14ac:dyDescent="0.25">
      <c r="B44" s="565"/>
      <c r="C44" s="138"/>
      <c r="D44" s="130"/>
      <c r="E44" s="130"/>
      <c r="F44" s="130"/>
      <c r="G44" s="130"/>
      <c r="H44" s="130"/>
      <c r="I44" s="130"/>
      <c r="J44" s="248"/>
      <c r="K44" s="510"/>
      <c r="L44" s="156"/>
      <c r="M44" s="566"/>
      <c r="N44" s="5"/>
      <c r="T44" s="6"/>
      <c r="U44" s="566"/>
      <c r="V44" s="138"/>
      <c r="W44" s="130"/>
      <c r="X44" s="47"/>
      <c r="Y44" s="130"/>
      <c r="Z44" s="130"/>
      <c r="AA44" s="130"/>
      <c r="AB44" s="130"/>
      <c r="AC44" s="130"/>
      <c r="AD44" s="130"/>
      <c r="AE44" s="130"/>
      <c r="AF44" s="130"/>
      <c r="AG44" s="155"/>
      <c r="AH44" s="567"/>
      <c r="AN44" s="133"/>
      <c r="AP44" s="132"/>
    </row>
    <row r="45" spans="2:49" ht="15.75" x14ac:dyDescent="0.25">
      <c r="B45" s="565"/>
      <c r="C45" s="138"/>
      <c r="D45" s="60" t="s">
        <v>140</v>
      </c>
      <c r="E45" s="65"/>
      <c r="F45" s="52"/>
      <c r="G45" s="52"/>
      <c r="H45" s="52"/>
      <c r="I45" s="52"/>
      <c r="J45" s="76"/>
      <c r="K45" s="510"/>
      <c r="L45" s="156"/>
      <c r="M45" s="566"/>
      <c r="N45" s="5"/>
      <c r="T45" s="6"/>
      <c r="U45" s="566"/>
      <c r="V45" s="138"/>
      <c r="W45" s="130"/>
      <c r="X45" s="130"/>
      <c r="Y45" s="130"/>
      <c r="Z45" s="130"/>
      <c r="AA45" s="130"/>
      <c r="AB45" s="130"/>
      <c r="AC45" s="130"/>
      <c r="AD45" s="130"/>
      <c r="AE45" s="130"/>
      <c r="AF45" s="130"/>
      <c r="AG45" s="155"/>
      <c r="AH45" s="567"/>
      <c r="AN45" s="133"/>
      <c r="AP45" s="132"/>
    </row>
    <row r="46" spans="2:49" ht="18" x14ac:dyDescent="0.25">
      <c r="B46" s="565"/>
      <c r="C46" s="138"/>
      <c r="D46" s="473" t="s">
        <v>116</v>
      </c>
      <c r="E46" s="474" t="s">
        <v>101</v>
      </c>
      <c r="F46" s="473" t="s">
        <v>102</v>
      </c>
      <c r="G46" s="473"/>
      <c r="H46" s="475">
        <f>H28*H20</f>
        <v>6850</v>
      </c>
      <c r="I46" s="475" t="s">
        <v>457</v>
      </c>
      <c r="J46" s="476">
        <f>H46/H46</f>
        <v>1</v>
      </c>
      <c r="K46" s="510"/>
      <c r="L46" s="156"/>
      <c r="M46" s="566"/>
      <c r="N46" s="5"/>
      <c r="T46" s="6"/>
      <c r="U46" s="566"/>
      <c r="V46" s="138"/>
      <c r="W46" s="130"/>
      <c r="X46" s="130"/>
      <c r="Y46" s="130"/>
      <c r="Z46" s="130"/>
      <c r="AA46" s="130"/>
      <c r="AB46" s="130"/>
      <c r="AC46" s="130"/>
      <c r="AD46" s="130"/>
      <c r="AE46" s="130"/>
      <c r="AF46" s="130"/>
      <c r="AG46" s="155"/>
      <c r="AH46" s="567"/>
      <c r="AN46" s="133"/>
      <c r="AP46" s="132"/>
    </row>
    <row r="47" spans="2:49" ht="15.75" x14ac:dyDescent="0.25">
      <c r="B47" s="565"/>
      <c r="C47" s="138"/>
      <c r="D47" s="69" t="s">
        <v>353</v>
      </c>
      <c r="E47" s="70"/>
      <c r="F47" s="69" t="s">
        <v>255</v>
      </c>
      <c r="G47" s="69"/>
      <c r="H47" s="161">
        <f>H48+H50+H51+H53</f>
        <v>6850</v>
      </c>
      <c r="I47" s="161"/>
      <c r="J47" s="398"/>
      <c r="K47" s="510"/>
      <c r="L47" s="156"/>
      <c r="M47" s="566"/>
      <c r="N47" s="5"/>
      <c r="T47" s="6"/>
      <c r="U47" s="566"/>
      <c r="V47" s="138"/>
      <c r="W47" s="130"/>
      <c r="X47" s="130"/>
      <c r="Y47" s="130"/>
      <c r="Z47" s="130"/>
      <c r="AA47" s="130"/>
      <c r="AB47" s="130"/>
      <c r="AC47" s="130"/>
      <c r="AD47" s="130"/>
      <c r="AE47" s="130"/>
      <c r="AF47" s="130"/>
      <c r="AG47" s="155"/>
      <c r="AH47" s="567"/>
      <c r="AN47" s="133"/>
      <c r="AP47" s="132"/>
    </row>
    <row r="48" spans="2:49" ht="18" x14ac:dyDescent="0.25">
      <c r="B48" s="565"/>
      <c r="C48" s="138"/>
      <c r="D48" s="69" t="s">
        <v>122</v>
      </c>
      <c r="E48" s="70" t="s">
        <v>119</v>
      </c>
      <c r="F48" s="69" t="s">
        <v>120</v>
      </c>
      <c r="G48" s="69"/>
      <c r="H48" s="161">
        <f>H25*H20</f>
        <v>98.174770424681029</v>
      </c>
      <c r="I48" s="161" t="s">
        <v>458</v>
      </c>
      <c r="J48" s="243">
        <f>H48/H46</f>
        <v>1.4332083273676063E-2</v>
      </c>
      <c r="K48" s="510"/>
      <c r="L48" s="156"/>
      <c r="M48" s="566"/>
      <c r="N48" s="5"/>
      <c r="T48" s="6"/>
      <c r="U48" s="566"/>
      <c r="V48" s="138"/>
      <c r="W48" s="130"/>
      <c r="X48" s="130"/>
      <c r="Y48" s="130"/>
      <c r="Z48" s="130"/>
      <c r="AA48" s="130"/>
      <c r="AB48" s="130"/>
      <c r="AC48" s="130"/>
      <c r="AD48" s="130"/>
      <c r="AE48" s="130"/>
      <c r="AF48" s="130"/>
      <c r="AG48" s="155"/>
      <c r="AH48" s="567"/>
      <c r="AN48" s="133"/>
      <c r="AP48" s="132"/>
    </row>
    <row r="49" spans="2:45" ht="18" x14ac:dyDescent="0.25">
      <c r="B49" s="565"/>
      <c r="C49" s="162"/>
      <c r="D49" s="477" t="s">
        <v>117</v>
      </c>
      <c r="E49" s="478" t="s">
        <v>118</v>
      </c>
      <c r="F49" s="477" t="s">
        <v>121</v>
      </c>
      <c r="G49" s="477"/>
      <c r="H49" s="479">
        <f>H46-H48</f>
        <v>6751.8252295753191</v>
      </c>
      <c r="I49" s="479" t="s">
        <v>457</v>
      </c>
      <c r="J49" s="480">
        <f>H49/H46</f>
        <v>0.98566791672632392</v>
      </c>
      <c r="K49" s="516"/>
      <c r="L49" s="163"/>
      <c r="M49" s="566"/>
      <c r="N49" s="5"/>
      <c r="T49" s="6"/>
      <c r="U49" s="566"/>
      <c r="V49" s="138"/>
      <c r="W49" s="130"/>
      <c r="X49" s="130"/>
      <c r="Y49" s="130"/>
      <c r="Z49" s="130"/>
      <c r="AA49" s="130"/>
      <c r="AB49" s="130"/>
      <c r="AC49" s="130"/>
      <c r="AD49" s="130"/>
      <c r="AE49" s="130"/>
      <c r="AF49" s="130"/>
      <c r="AG49" s="155"/>
      <c r="AH49" s="567"/>
      <c r="AN49" s="133"/>
      <c r="AP49" s="132"/>
    </row>
    <row r="50" spans="2:45" ht="18" x14ac:dyDescent="0.25">
      <c r="B50" s="565"/>
      <c r="C50" s="162"/>
      <c r="D50" s="52" t="s">
        <v>141</v>
      </c>
      <c r="E50" s="62" t="s">
        <v>143</v>
      </c>
      <c r="F50" s="52" t="s">
        <v>150</v>
      </c>
      <c r="G50" s="52"/>
      <c r="H50" s="77">
        <f>H27*H20</f>
        <v>85</v>
      </c>
      <c r="I50" s="77" t="s">
        <v>459</v>
      </c>
      <c r="J50" s="244">
        <f>H50/H46</f>
        <v>1.2408759124087591E-2</v>
      </c>
      <c r="K50" s="516"/>
      <c r="L50" s="163"/>
      <c r="M50" s="566"/>
      <c r="N50" s="5"/>
      <c r="T50" s="6"/>
      <c r="U50" s="566"/>
      <c r="V50" s="138"/>
      <c r="W50" s="130"/>
      <c r="X50" s="130"/>
      <c r="Y50" s="130"/>
      <c r="Z50" s="130"/>
      <c r="AA50" s="130"/>
      <c r="AB50" s="130"/>
      <c r="AC50" s="130"/>
      <c r="AD50" s="130"/>
      <c r="AE50" s="130"/>
      <c r="AF50" s="130"/>
      <c r="AG50" s="155"/>
      <c r="AH50" s="567"/>
      <c r="AN50" s="133"/>
      <c r="AP50" s="132"/>
      <c r="AS50" s="132"/>
    </row>
    <row r="51" spans="2:45" ht="18" x14ac:dyDescent="0.25">
      <c r="B51" s="565"/>
      <c r="C51" s="162"/>
      <c r="D51" s="53" t="s">
        <v>151</v>
      </c>
      <c r="E51" s="56" t="s">
        <v>153</v>
      </c>
      <c r="F51" s="54" t="s">
        <v>154</v>
      </c>
      <c r="G51" s="247"/>
      <c r="H51" s="59">
        <f>H26*H20</f>
        <v>1041.8252295753189</v>
      </c>
      <c r="I51" s="77" t="s">
        <v>459</v>
      </c>
      <c r="J51" s="242">
        <f>H51/H46</f>
        <v>0.1520912743905575</v>
      </c>
      <c r="K51" s="516"/>
      <c r="L51" s="163"/>
      <c r="M51" s="566"/>
      <c r="N51" s="5"/>
      <c r="T51" s="6"/>
      <c r="U51" s="566"/>
      <c r="V51" s="138"/>
      <c r="W51" s="130"/>
      <c r="X51" s="130"/>
      <c r="Y51" s="130"/>
      <c r="Z51" s="130"/>
      <c r="AA51" s="130"/>
      <c r="AB51" s="130"/>
      <c r="AC51" s="130"/>
      <c r="AD51" s="130"/>
      <c r="AE51" s="130"/>
      <c r="AF51" s="130"/>
      <c r="AG51" s="155"/>
      <c r="AH51" s="567"/>
      <c r="AN51" s="133"/>
      <c r="AP51" s="132"/>
      <c r="AS51" s="132"/>
    </row>
    <row r="52" spans="2:45" ht="18" x14ac:dyDescent="0.25">
      <c r="B52" s="565"/>
      <c r="C52" s="162"/>
      <c r="D52" s="51" t="s">
        <v>155</v>
      </c>
      <c r="E52" s="56" t="s">
        <v>156</v>
      </c>
      <c r="F52" s="54" t="s">
        <v>157</v>
      </c>
      <c r="G52" s="54"/>
      <c r="H52" s="59">
        <f>H36*H20</f>
        <v>561.88618786415941</v>
      </c>
      <c r="I52" s="77" t="s">
        <v>459</v>
      </c>
      <c r="J52" s="242">
        <f>H52/H46</f>
        <v>8.2027180710096265E-2</v>
      </c>
      <c r="K52" s="516"/>
      <c r="L52" s="163"/>
      <c r="M52" s="566"/>
      <c r="N52" s="5"/>
      <c r="T52" s="6"/>
      <c r="U52" s="566"/>
      <c r="V52" s="138"/>
      <c r="W52" s="130"/>
      <c r="X52" s="130"/>
      <c r="Y52" s="130"/>
      <c r="Z52" s="130"/>
      <c r="AA52" s="130"/>
      <c r="AB52" s="130"/>
      <c r="AC52" s="130"/>
      <c r="AD52" s="130"/>
      <c r="AE52" s="130"/>
      <c r="AF52" s="130"/>
      <c r="AG52" s="155"/>
      <c r="AH52" s="567"/>
      <c r="AN52" s="133"/>
      <c r="AP52" s="132"/>
      <c r="AS52" s="132"/>
    </row>
    <row r="53" spans="2:45" ht="18.75" thickBot="1" x14ac:dyDescent="0.3">
      <c r="B53" s="565"/>
      <c r="C53" s="162"/>
      <c r="D53" s="212" t="s">
        <v>164</v>
      </c>
      <c r="E53" s="245" t="s">
        <v>165</v>
      </c>
      <c r="F53" s="212" t="s">
        <v>166</v>
      </c>
      <c r="G53" s="212"/>
      <c r="H53" s="234">
        <f>H23*H20</f>
        <v>5625</v>
      </c>
      <c r="I53" s="526" t="s">
        <v>457</v>
      </c>
      <c r="J53" s="246">
        <f>H53/H46</f>
        <v>0.82116788321167888</v>
      </c>
      <c r="K53" s="516"/>
      <c r="L53" s="163"/>
      <c r="M53" s="566"/>
      <c r="N53" s="5"/>
      <c r="T53" s="6"/>
      <c r="U53" s="566"/>
      <c r="V53" s="138"/>
      <c r="W53" s="130"/>
      <c r="X53" s="130"/>
      <c r="Y53" s="130"/>
      <c r="Z53" s="130"/>
      <c r="AA53" s="130"/>
      <c r="AB53" s="130"/>
      <c r="AC53" s="130"/>
      <c r="AD53" s="130"/>
      <c r="AE53" s="130"/>
      <c r="AF53" s="130"/>
      <c r="AG53" s="155"/>
      <c r="AH53" s="567"/>
      <c r="AN53" s="133"/>
      <c r="AP53" s="132"/>
      <c r="AS53" s="132"/>
    </row>
    <row r="54" spans="2:45" ht="15.75" x14ac:dyDescent="0.25">
      <c r="B54" s="565"/>
      <c r="C54" s="162"/>
      <c r="D54" s="54"/>
      <c r="E54" s="56"/>
      <c r="F54" s="54"/>
      <c r="G54" s="54"/>
      <c r="H54" s="52"/>
      <c r="I54" s="77"/>
      <c r="J54" s="242"/>
      <c r="K54" s="516"/>
      <c r="L54" s="163"/>
      <c r="M54" s="566"/>
      <c r="N54" s="5" t="s">
        <v>343</v>
      </c>
      <c r="T54" s="6"/>
      <c r="U54" s="566"/>
      <c r="V54" s="138"/>
      <c r="W54" s="130"/>
      <c r="X54" s="130"/>
      <c r="Y54" s="130"/>
      <c r="Z54" s="130"/>
      <c r="AA54" s="130"/>
      <c r="AB54" s="130"/>
      <c r="AC54" s="130"/>
      <c r="AD54" s="130"/>
      <c r="AE54" s="130"/>
      <c r="AF54" s="130"/>
      <c r="AG54" s="155"/>
      <c r="AH54" s="567"/>
      <c r="AN54" s="133"/>
      <c r="AP54" s="132"/>
      <c r="AS54" s="132"/>
    </row>
    <row r="55" spans="2:45" ht="15.75" x14ac:dyDescent="0.25">
      <c r="B55" s="565"/>
      <c r="C55" s="162"/>
      <c r="D55" s="55" t="s">
        <v>268</v>
      </c>
      <c r="E55" s="56"/>
      <c r="F55" s="54"/>
      <c r="G55" s="54"/>
      <c r="H55" s="52"/>
      <c r="I55" s="77"/>
      <c r="J55" s="242"/>
      <c r="K55" s="516"/>
      <c r="L55" s="163"/>
      <c r="M55" s="566"/>
      <c r="N55" s="5" t="s">
        <v>342</v>
      </c>
      <c r="O55" s="1" t="s">
        <v>344</v>
      </c>
      <c r="T55" s="6"/>
      <c r="U55" s="566"/>
      <c r="V55" s="138"/>
      <c r="W55" s="130"/>
      <c r="X55" s="130"/>
      <c r="Y55" s="130"/>
      <c r="Z55" s="130"/>
      <c r="AA55" s="130"/>
      <c r="AB55" s="130"/>
      <c r="AC55" s="130"/>
      <c r="AD55" s="130"/>
      <c r="AE55" s="130"/>
      <c r="AF55" s="130"/>
      <c r="AG55" s="155"/>
      <c r="AH55" s="567"/>
      <c r="AN55" s="133"/>
      <c r="AP55" s="132"/>
      <c r="AS55" s="132"/>
    </row>
    <row r="56" spans="2:45" ht="15.75" x14ac:dyDescent="0.25">
      <c r="B56" s="565"/>
      <c r="C56" s="162"/>
      <c r="D56" s="54" t="s">
        <v>424</v>
      </c>
      <c r="E56" s="56"/>
      <c r="F56" s="54" t="s">
        <v>73</v>
      </c>
      <c r="G56" s="54"/>
      <c r="H56" s="52">
        <v>500</v>
      </c>
      <c r="I56" s="77" t="s">
        <v>60</v>
      </c>
      <c r="J56" s="242"/>
      <c r="K56" s="516"/>
      <c r="L56" s="163"/>
      <c r="M56" s="566"/>
      <c r="N56" s="5" t="s">
        <v>425</v>
      </c>
      <c r="O56" s="1" t="s">
        <v>426</v>
      </c>
      <c r="T56" s="6"/>
      <c r="U56" s="566"/>
      <c r="V56" s="138"/>
      <c r="W56" s="130"/>
      <c r="X56" s="130"/>
      <c r="Y56" s="130"/>
      <c r="Z56" s="130"/>
      <c r="AA56" s="130"/>
      <c r="AB56" s="130"/>
      <c r="AC56" s="130"/>
      <c r="AD56" s="130"/>
      <c r="AE56" s="130"/>
      <c r="AF56" s="130"/>
      <c r="AG56" s="155"/>
      <c r="AH56" s="567"/>
      <c r="AN56" s="133"/>
      <c r="AP56" s="132"/>
      <c r="AS56" s="132"/>
    </row>
    <row r="57" spans="2:45" ht="18" x14ac:dyDescent="0.25">
      <c r="B57" s="565"/>
      <c r="C57" s="162"/>
      <c r="D57" s="54" t="s">
        <v>269</v>
      </c>
      <c r="E57" s="56" t="s">
        <v>271</v>
      </c>
      <c r="F57" s="54" t="s">
        <v>273</v>
      </c>
      <c r="G57" s="54"/>
      <c r="H57" s="77">
        <f>H53+H52</f>
        <v>6186.8861878641592</v>
      </c>
      <c r="I57" s="77" t="s">
        <v>459</v>
      </c>
      <c r="J57" s="242">
        <f>H57/H46</f>
        <v>0.90319506392177507</v>
      </c>
      <c r="K57" s="516"/>
      <c r="L57" s="163"/>
      <c r="M57" s="566"/>
      <c r="N57" s="5"/>
      <c r="T57" s="6"/>
      <c r="U57" s="566"/>
      <c r="V57" s="138"/>
      <c r="W57" s="130"/>
      <c r="X57" s="130"/>
      <c r="Y57" s="130"/>
      <c r="Z57" s="130"/>
      <c r="AA57" s="130"/>
      <c r="AB57" s="130"/>
      <c r="AC57" s="130"/>
      <c r="AD57" s="130"/>
      <c r="AE57" s="130"/>
      <c r="AF57" s="130"/>
      <c r="AG57" s="155"/>
      <c r="AH57" s="567"/>
      <c r="AN57" s="133"/>
      <c r="AP57" s="132"/>
      <c r="AS57" s="132"/>
    </row>
    <row r="58" spans="2:45" ht="18" x14ac:dyDescent="0.25">
      <c r="B58" s="565"/>
      <c r="C58" s="162"/>
      <c r="D58" s="54" t="s">
        <v>270</v>
      </c>
      <c r="E58" s="56" t="s">
        <v>272</v>
      </c>
      <c r="F58" s="54" t="s">
        <v>274</v>
      </c>
      <c r="G58" s="54"/>
      <c r="H58" s="77">
        <f>H51-H52</f>
        <v>479.93904171115946</v>
      </c>
      <c r="I58" s="77" t="s">
        <v>459</v>
      </c>
      <c r="J58" s="262">
        <f>H58/H46</f>
        <v>7.0064093680461237E-2</v>
      </c>
      <c r="K58" s="516"/>
      <c r="L58" s="163"/>
      <c r="M58" s="566"/>
      <c r="N58" s="5"/>
      <c r="T58" s="6"/>
      <c r="U58" s="566"/>
      <c r="V58" s="162"/>
      <c r="W58" s="52"/>
      <c r="X58" s="52"/>
      <c r="Y58" s="52"/>
      <c r="Z58" s="52"/>
      <c r="AA58" s="52"/>
      <c r="AB58" s="52"/>
      <c r="AC58" s="52"/>
      <c r="AD58" s="52"/>
      <c r="AE58" s="52"/>
      <c r="AF58" s="52"/>
      <c r="AG58" s="509"/>
      <c r="AH58" s="567"/>
      <c r="AN58" s="133"/>
      <c r="AP58" s="132"/>
      <c r="AS58" s="132"/>
    </row>
    <row r="59" spans="2:45" ht="15.75" x14ac:dyDescent="0.25">
      <c r="B59" s="565"/>
      <c r="C59" s="162"/>
      <c r="D59" s="54"/>
      <c r="E59" s="56"/>
      <c r="F59" s="54"/>
      <c r="G59" s="54"/>
      <c r="H59" s="52"/>
      <c r="I59" s="77"/>
      <c r="J59" s="242">
        <f>J57+J58</f>
        <v>0.97325915760223625</v>
      </c>
      <c r="K59" s="516"/>
      <c r="L59" s="163"/>
      <c r="M59" s="566"/>
      <c r="N59" s="5"/>
      <c r="T59" s="6"/>
      <c r="U59" s="566"/>
      <c r="V59" s="138"/>
      <c r="W59" s="130"/>
      <c r="X59" s="130"/>
      <c r="Y59" s="130"/>
      <c r="Z59" s="130"/>
      <c r="AA59" s="130"/>
      <c r="AB59" s="130"/>
      <c r="AC59" s="130"/>
      <c r="AD59" s="130"/>
      <c r="AE59" s="130"/>
      <c r="AF59" s="130"/>
      <c r="AG59" s="155"/>
      <c r="AH59" s="567"/>
      <c r="AN59" s="133"/>
      <c r="AP59" s="132"/>
      <c r="AS59" s="132"/>
    </row>
    <row r="60" spans="2:45" ht="15.75" thickBot="1" x14ac:dyDescent="0.3">
      <c r="B60" s="565"/>
      <c r="C60" s="164"/>
      <c r="D60" s="93"/>
      <c r="E60" s="165"/>
      <c r="F60" s="93"/>
      <c r="G60" s="93"/>
      <c r="H60" s="93"/>
      <c r="I60" s="93"/>
      <c r="J60" s="93"/>
      <c r="K60" s="166"/>
      <c r="L60" s="167"/>
      <c r="M60" s="566"/>
      <c r="N60" s="7"/>
      <c r="O60" s="8"/>
      <c r="P60" s="8"/>
      <c r="Q60" s="8"/>
      <c r="R60" s="8"/>
      <c r="S60" s="8"/>
      <c r="T60" s="9"/>
      <c r="U60" s="566"/>
      <c r="V60" s="164"/>
      <c r="W60" s="166"/>
      <c r="X60" s="166"/>
      <c r="Y60" s="166"/>
      <c r="Z60" s="166"/>
      <c r="AA60" s="166"/>
      <c r="AB60" s="166"/>
      <c r="AC60" s="166"/>
      <c r="AD60" s="166"/>
      <c r="AE60" s="166"/>
      <c r="AF60" s="166"/>
      <c r="AG60" s="167"/>
      <c r="AH60" s="567"/>
      <c r="AN60" s="133"/>
      <c r="AP60" s="132"/>
      <c r="AS60" s="132"/>
    </row>
    <row r="61" spans="2:45" s="64" customFormat="1" ht="16.5" thickBot="1" x14ac:dyDescent="0.3">
      <c r="B61" s="584"/>
      <c r="C61" s="566"/>
      <c r="D61" s="566"/>
      <c r="E61" s="583"/>
      <c r="F61" s="568"/>
      <c r="G61" s="586"/>
      <c r="H61" s="568"/>
      <c r="I61" s="586"/>
      <c r="J61" s="568"/>
      <c r="K61" s="571"/>
      <c r="L61" s="566"/>
      <c r="M61" s="569"/>
      <c r="N61" s="569"/>
      <c r="O61" s="569"/>
      <c r="P61" s="569"/>
      <c r="Q61" s="569"/>
      <c r="R61" s="569"/>
      <c r="S61" s="569"/>
      <c r="T61" s="569"/>
      <c r="U61" s="569"/>
      <c r="V61" s="569"/>
      <c r="W61" s="569"/>
      <c r="X61" s="569"/>
      <c r="Y61" s="569"/>
      <c r="Z61" s="569"/>
      <c r="AA61" s="569"/>
      <c r="AB61" s="569"/>
      <c r="AC61" s="569"/>
      <c r="AD61" s="569"/>
      <c r="AE61" s="569"/>
      <c r="AF61" s="569"/>
      <c r="AG61" s="569"/>
      <c r="AH61" s="585"/>
      <c r="AN61" s="79"/>
      <c r="AP61" s="80"/>
      <c r="AS61" s="80"/>
    </row>
    <row r="62" spans="2:45" x14ac:dyDescent="0.25">
      <c r="B62" s="565"/>
      <c r="C62" s="588"/>
      <c r="D62" s="589"/>
      <c r="E62" s="589"/>
      <c r="F62" s="589"/>
      <c r="G62" s="589"/>
      <c r="H62" s="589"/>
      <c r="I62" s="589"/>
      <c r="J62" s="589"/>
      <c r="K62" s="592"/>
      <c r="L62" s="590"/>
      <c r="M62" s="566"/>
      <c r="N62" s="566"/>
      <c r="O62" s="566"/>
      <c r="P62" s="566"/>
      <c r="Q62" s="566"/>
      <c r="R62" s="566"/>
      <c r="S62" s="566"/>
      <c r="T62" s="566"/>
      <c r="U62" s="587"/>
      <c r="V62" s="566"/>
      <c r="W62" s="566"/>
      <c r="X62" s="566"/>
      <c r="Y62" s="566"/>
      <c r="Z62" s="566"/>
      <c r="AA62" s="566"/>
      <c r="AB62" s="566"/>
      <c r="AC62" s="566"/>
      <c r="AD62" s="566"/>
      <c r="AE62" s="566"/>
      <c r="AF62" s="566"/>
      <c r="AG62" s="566"/>
      <c r="AH62" s="567"/>
      <c r="AN62" s="133"/>
      <c r="AP62" s="132"/>
      <c r="AS62" s="135"/>
    </row>
    <row r="63" spans="2:45" ht="23.25" x14ac:dyDescent="0.35">
      <c r="B63" s="565"/>
      <c r="C63" s="591"/>
      <c r="D63" s="595" t="s">
        <v>275</v>
      </c>
      <c r="E63" s="592"/>
      <c r="F63" s="592"/>
      <c r="G63" s="592"/>
      <c r="H63" s="592"/>
      <c r="I63" s="592"/>
      <c r="J63" s="592"/>
      <c r="K63" s="592"/>
      <c r="L63" s="593"/>
      <c r="M63" s="566"/>
      <c r="N63" s="566"/>
      <c r="O63" s="566"/>
      <c r="P63" s="566"/>
      <c r="Q63" s="566"/>
      <c r="R63" s="566"/>
      <c r="S63" s="566"/>
      <c r="T63" s="566"/>
      <c r="U63" s="566"/>
      <c r="V63" s="566"/>
      <c r="W63" s="566"/>
      <c r="X63" s="566"/>
      <c r="Y63" s="566"/>
      <c r="Z63" s="566"/>
      <c r="AA63" s="566"/>
      <c r="AB63" s="566"/>
      <c r="AC63" s="566"/>
      <c r="AD63" s="566"/>
      <c r="AE63" s="566"/>
      <c r="AF63" s="566"/>
      <c r="AG63" s="566"/>
      <c r="AH63" s="567"/>
      <c r="AN63" s="133"/>
      <c r="AP63" s="132"/>
      <c r="AS63" s="135"/>
    </row>
    <row r="64" spans="2:45" ht="23.25" x14ac:dyDescent="0.35">
      <c r="B64" s="565"/>
      <c r="C64" s="608"/>
      <c r="D64" s="609"/>
      <c r="E64" s="137"/>
      <c r="F64" s="137"/>
      <c r="G64" s="137"/>
      <c r="H64" s="137"/>
      <c r="I64" s="137"/>
      <c r="J64" s="137"/>
      <c r="K64" s="137"/>
      <c r="L64" s="610"/>
      <c r="M64" s="566"/>
      <c r="N64" s="566"/>
      <c r="O64" s="566"/>
      <c r="P64" s="566"/>
      <c r="Q64" s="566"/>
      <c r="R64" s="566"/>
      <c r="S64" s="566"/>
      <c r="T64" s="566"/>
      <c r="U64" s="566"/>
      <c r="V64" s="566"/>
      <c r="W64" s="566"/>
      <c r="X64" s="566"/>
      <c r="Y64" s="566"/>
      <c r="Z64" s="566"/>
      <c r="AA64" s="566"/>
      <c r="AB64" s="566"/>
      <c r="AC64" s="566"/>
      <c r="AD64" s="566"/>
      <c r="AE64" s="566"/>
      <c r="AF64" s="566"/>
      <c r="AG64" s="566"/>
      <c r="AH64" s="567"/>
      <c r="AN64" s="133"/>
      <c r="AP64" s="132"/>
      <c r="AS64" s="135"/>
    </row>
    <row r="65" spans="2:45" x14ac:dyDescent="0.25">
      <c r="B65" s="565"/>
      <c r="C65" s="138"/>
      <c r="D65" s="130"/>
      <c r="E65" s="130"/>
      <c r="F65" s="130"/>
      <c r="G65" s="130"/>
      <c r="H65" s="130"/>
      <c r="I65" s="130"/>
      <c r="J65" s="130"/>
      <c r="K65" s="130"/>
      <c r="L65" s="155"/>
      <c r="M65" s="566"/>
      <c r="N65" s="566"/>
      <c r="O65" s="566"/>
      <c r="P65" s="566"/>
      <c r="Q65" s="566"/>
      <c r="R65" s="566"/>
      <c r="S65" s="566"/>
      <c r="T65" s="566"/>
      <c r="U65" s="566"/>
      <c r="V65" s="566"/>
      <c r="W65" s="566"/>
      <c r="X65" s="566"/>
      <c r="Y65" s="566"/>
      <c r="Z65" s="566"/>
      <c r="AA65" s="566"/>
      <c r="AB65" s="566"/>
      <c r="AC65" s="566"/>
      <c r="AD65" s="566"/>
      <c r="AE65" s="566"/>
      <c r="AF65" s="566"/>
      <c r="AG65" s="566"/>
      <c r="AH65" s="567"/>
      <c r="AN65" s="133"/>
      <c r="AP65" s="132"/>
      <c r="AS65" s="135"/>
    </row>
    <row r="66" spans="2:45" x14ac:dyDescent="0.25">
      <c r="B66" s="565"/>
      <c r="C66" s="138"/>
      <c r="D66" s="130"/>
      <c r="E66" s="130"/>
      <c r="F66" s="130"/>
      <c r="G66" s="130"/>
      <c r="H66" s="130"/>
      <c r="I66" s="130"/>
      <c r="J66" s="130"/>
      <c r="K66" s="130"/>
      <c r="L66" s="155"/>
      <c r="M66" s="566"/>
      <c r="N66" s="566"/>
      <c r="O66" s="566"/>
      <c r="P66" s="566"/>
      <c r="Q66" s="566"/>
      <c r="R66" s="566"/>
      <c r="S66" s="566"/>
      <c r="T66" s="566"/>
      <c r="U66" s="566"/>
      <c r="V66" s="566"/>
      <c r="W66" s="566"/>
      <c r="X66" s="566"/>
      <c r="Y66" s="566"/>
      <c r="Z66" s="566"/>
      <c r="AA66" s="566"/>
      <c r="AB66" s="566"/>
      <c r="AC66" s="566"/>
      <c r="AD66" s="566"/>
      <c r="AE66" s="566"/>
      <c r="AF66" s="566"/>
      <c r="AG66" s="566"/>
      <c r="AH66" s="567"/>
      <c r="AN66" s="133"/>
      <c r="AP66" s="132"/>
      <c r="AS66" s="135"/>
    </row>
    <row r="67" spans="2:45" x14ac:dyDescent="0.25">
      <c r="B67" s="565"/>
      <c r="C67" s="138"/>
      <c r="D67" s="130"/>
      <c r="E67" s="130"/>
      <c r="F67" s="130"/>
      <c r="G67" s="130"/>
      <c r="H67" s="130"/>
      <c r="I67" s="130"/>
      <c r="J67" s="130"/>
      <c r="K67" s="130"/>
      <c r="L67" s="155"/>
      <c r="M67" s="566"/>
      <c r="N67" s="566"/>
      <c r="O67" s="566"/>
      <c r="P67" s="566"/>
      <c r="Q67" s="566"/>
      <c r="R67" s="566"/>
      <c r="S67" s="566"/>
      <c r="T67" s="566"/>
      <c r="U67" s="566"/>
      <c r="V67" s="566"/>
      <c r="W67" s="566"/>
      <c r="X67" s="566"/>
      <c r="Y67" s="566"/>
      <c r="Z67" s="566"/>
      <c r="AA67" s="566"/>
      <c r="AB67" s="566"/>
      <c r="AC67" s="566"/>
      <c r="AD67" s="566"/>
      <c r="AE67" s="566"/>
      <c r="AF67" s="566"/>
      <c r="AG67" s="566"/>
      <c r="AH67" s="567"/>
      <c r="AN67" s="133"/>
      <c r="AP67" s="132"/>
      <c r="AS67" s="135"/>
    </row>
    <row r="68" spans="2:45" ht="15.75" x14ac:dyDescent="0.25">
      <c r="B68" s="565"/>
      <c r="C68" s="138"/>
      <c r="D68" s="60" t="s">
        <v>276</v>
      </c>
      <c r="E68" s="130"/>
      <c r="F68" s="250" t="s">
        <v>186</v>
      </c>
      <c r="G68" s="251"/>
      <c r="H68" s="250" t="s">
        <v>187</v>
      </c>
      <c r="I68" s="251"/>
      <c r="J68" s="250" t="s">
        <v>188</v>
      </c>
      <c r="K68" s="251"/>
      <c r="L68" s="155"/>
      <c r="M68" s="566"/>
      <c r="N68" s="566"/>
      <c r="O68" s="566"/>
      <c r="P68" s="566"/>
      <c r="Q68" s="566"/>
      <c r="R68" s="566"/>
      <c r="S68" s="566"/>
      <c r="T68" s="566"/>
      <c r="U68" s="566"/>
      <c r="V68" s="566"/>
      <c r="W68" s="566"/>
      <c r="X68" s="566"/>
      <c r="Y68" s="566"/>
      <c r="Z68" s="566"/>
      <c r="AA68" s="566"/>
      <c r="AB68" s="566"/>
      <c r="AC68" s="566"/>
      <c r="AD68" s="566"/>
      <c r="AE68" s="566"/>
      <c r="AF68" s="566"/>
      <c r="AG68" s="566"/>
      <c r="AH68" s="567"/>
    </row>
    <row r="69" spans="2:45" ht="18" x14ac:dyDescent="0.25">
      <c r="B69" s="565"/>
      <c r="C69" s="138"/>
      <c r="D69" s="202" t="s">
        <v>164</v>
      </c>
      <c r="E69" s="77" t="s">
        <v>459</v>
      </c>
      <c r="F69" s="130">
        <f>H53</f>
        <v>5625</v>
      </c>
      <c r="G69" s="256">
        <f>J53</f>
        <v>0.82116788321167888</v>
      </c>
      <c r="H69" s="252">
        <f>H53</f>
        <v>5625</v>
      </c>
      <c r="I69" s="255">
        <f>J53</f>
        <v>0.82116788321167888</v>
      </c>
      <c r="J69" s="130">
        <f>H53</f>
        <v>5625</v>
      </c>
      <c r="K69" s="248">
        <f>J53</f>
        <v>0.82116788321167888</v>
      </c>
      <c r="L69" s="155"/>
      <c r="M69" s="566"/>
      <c r="N69" s="566"/>
      <c r="O69" s="566"/>
      <c r="P69" s="566"/>
      <c r="Q69" s="566"/>
      <c r="R69" s="566"/>
      <c r="S69" s="566"/>
      <c r="T69" s="566"/>
      <c r="U69" s="566"/>
      <c r="V69" s="566"/>
      <c r="W69" s="566"/>
      <c r="X69" s="566"/>
      <c r="Y69" s="566"/>
      <c r="Z69" s="566"/>
      <c r="AA69" s="566"/>
      <c r="AB69" s="566"/>
      <c r="AC69" s="566"/>
      <c r="AD69" s="566"/>
      <c r="AE69" s="566"/>
      <c r="AF69" s="566"/>
      <c r="AG69" s="566"/>
      <c r="AH69" s="567"/>
    </row>
    <row r="70" spans="2:45" ht="18" x14ac:dyDescent="0.25">
      <c r="B70" s="565"/>
      <c r="C70" s="138"/>
      <c r="D70" s="130" t="s">
        <v>151</v>
      </c>
      <c r="E70" s="77" t="s">
        <v>459</v>
      </c>
      <c r="F70" s="249">
        <f>H51</f>
        <v>1041.8252295753189</v>
      </c>
      <c r="G70" s="248">
        <f>J51</f>
        <v>0.1520912743905575</v>
      </c>
      <c r="H70" s="257">
        <f>H51</f>
        <v>1041.8252295753189</v>
      </c>
      <c r="I70" s="258">
        <f>J51</f>
        <v>0.1520912743905575</v>
      </c>
      <c r="J70" s="249">
        <f>H51</f>
        <v>1041.8252295753189</v>
      </c>
      <c r="K70" s="248">
        <f>J51</f>
        <v>0.1520912743905575</v>
      </c>
      <c r="L70" s="155"/>
      <c r="M70" s="566"/>
      <c r="N70" s="566"/>
      <c r="O70" s="566"/>
      <c r="P70" s="566"/>
      <c r="Q70" s="566"/>
      <c r="R70" s="566"/>
      <c r="S70" s="566"/>
      <c r="T70" s="566"/>
      <c r="U70" s="566"/>
      <c r="V70" s="566"/>
      <c r="W70" s="566"/>
      <c r="X70" s="566"/>
      <c r="Y70" s="566"/>
      <c r="Z70" s="566"/>
      <c r="AA70" s="566"/>
      <c r="AB70" s="566"/>
      <c r="AC70" s="566"/>
      <c r="AD70" s="566"/>
      <c r="AE70" s="566"/>
      <c r="AF70" s="566"/>
      <c r="AG70" s="566"/>
      <c r="AH70" s="567"/>
    </row>
    <row r="71" spans="2:45" ht="18" x14ac:dyDescent="0.25">
      <c r="B71" s="565"/>
      <c r="C71" s="138"/>
      <c r="D71" s="130" t="s">
        <v>141</v>
      </c>
      <c r="E71" s="77" t="s">
        <v>459</v>
      </c>
      <c r="F71" s="249">
        <f>H50</f>
        <v>85</v>
      </c>
      <c r="G71" s="256">
        <f>J50</f>
        <v>1.2408759124087591E-2</v>
      </c>
      <c r="H71" s="257">
        <f>H50</f>
        <v>85</v>
      </c>
      <c r="I71" s="259">
        <f>J50</f>
        <v>1.2408759124087591E-2</v>
      </c>
      <c r="J71" s="249">
        <f>H50</f>
        <v>85</v>
      </c>
      <c r="K71" s="256">
        <f>J50</f>
        <v>1.2408759124087591E-2</v>
      </c>
      <c r="L71" s="155"/>
      <c r="M71" s="566"/>
      <c r="N71" s="566"/>
      <c r="O71" s="566"/>
      <c r="P71" s="566"/>
      <c r="Q71" s="566"/>
      <c r="R71" s="566"/>
      <c r="S71" s="566"/>
      <c r="T71" s="566"/>
      <c r="U71" s="566"/>
      <c r="V71" s="566"/>
      <c r="W71" s="566"/>
      <c r="X71" s="566"/>
      <c r="Y71" s="566"/>
      <c r="Z71" s="566"/>
      <c r="AA71" s="566"/>
      <c r="AB71" s="566"/>
      <c r="AC71" s="566"/>
      <c r="AD71" s="566"/>
      <c r="AE71" s="566"/>
      <c r="AF71" s="566"/>
      <c r="AG71" s="566"/>
      <c r="AH71" s="567"/>
    </row>
    <row r="72" spans="2:45" ht="18" x14ac:dyDescent="0.25">
      <c r="B72" s="565"/>
      <c r="C72" s="138"/>
      <c r="D72" s="130" t="s">
        <v>285</v>
      </c>
      <c r="E72" s="77" t="s">
        <v>459</v>
      </c>
      <c r="F72" s="249">
        <f>H51+H50</f>
        <v>1126.8252295753189</v>
      </c>
      <c r="G72" s="256">
        <f>J50+J51</f>
        <v>0.16450003351464509</v>
      </c>
      <c r="H72" s="253"/>
      <c r="I72" s="254"/>
      <c r="J72" s="249">
        <f>H51+H50</f>
        <v>1126.8252295753189</v>
      </c>
      <c r="K72" s="256">
        <f>J50+J51</f>
        <v>0.16450003351464509</v>
      </c>
      <c r="L72" s="155"/>
      <c r="M72" s="566"/>
      <c r="N72" s="566"/>
      <c r="O72" s="566"/>
      <c r="P72" s="566"/>
      <c r="Q72" s="566"/>
      <c r="R72" s="566"/>
      <c r="S72" s="566"/>
      <c r="T72" s="566"/>
      <c r="U72" s="566"/>
      <c r="V72" s="566"/>
      <c r="W72" s="566"/>
      <c r="X72" s="566"/>
      <c r="Y72" s="566"/>
      <c r="Z72" s="566"/>
      <c r="AA72" s="566"/>
      <c r="AB72" s="566"/>
      <c r="AC72" s="566"/>
      <c r="AD72" s="566"/>
      <c r="AE72" s="566"/>
      <c r="AF72" s="566"/>
      <c r="AG72" s="566"/>
      <c r="AH72" s="567"/>
    </row>
    <row r="73" spans="2:45" x14ac:dyDescent="0.25">
      <c r="B73" s="565"/>
      <c r="C73" s="138"/>
      <c r="D73" s="130"/>
      <c r="E73" s="130"/>
      <c r="F73" s="130"/>
      <c r="G73" s="130"/>
      <c r="H73" s="253"/>
      <c r="I73" s="254"/>
      <c r="J73" s="130"/>
      <c r="K73" s="130"/>
      <c r="L73" s="155"/>
      <c r="M73" s="566"/>
      <c r="N73" s="566"/>
      <c r="O73" s="566"/>
      <c r="P73" s="566"/>
      <c r="Q73" s="566"/>
      <c r="R73" s="566"/>
      <c r="S73" s="566"/>
      <c r="T73" s="566"/>
      <c r="U73" s="566"/>
      <c r="V73" s="566"/>
      <c r="W73" s="566"/>
      <c r="X73" s="566"/>
      <c r="Y73" s="566"/>
      <c r="Z73" s="566"/>
      <c r="AA73" s="566"/>
      <c r="AB73" s="566"/>
      <c r="AC73" s="566"/>
      <c r="AD73" s="566"/>
      <c r="AE73" s="566"/>
      <c r="AF73" s="566"/>
      <c r="AG73" s="566"/>
      <c r="AH73" s="567"/>
    </row>
    <row r="74" spans="2:45" ht="15.75" x14ac:dyDescent="0.25">
      <c r="B74" s="565"/>
      <c r="C74" s="138"/>
      <c r="D74" s="60" t="s">
        <v>277</v>
      </c>
      <c r="E74" s="130"/>
      <c r="F74" s="130"/>
      <c r="G74" s="130"/>
      <c r="H74" s="253"/>
      <c r="I74" s="254"/>
      <c r="J74" s="130"/>
      <c r="K74" s="130"/>
      <c r="L74" s="155"/>
      <c r="M74" s="566"/>
      <c r="N74" s="566"/>
      <c r="O74" s="566"/>
      <c r="P74" s="566"/>
      <c r="Q74" s="566"/>
      <c r="R74" s="566"/>
      <c r="S74" s="566"/>
      <c r="T74" s="566"/>
      <c r="U74" s="566"/>
      <c r="V74" s="566"/>
      <c r="W74" s="566"/>
      <c r="X74" s="566"/>
      <c r="Y74" s="566"/>
      <c r="Z74" s="566"/>
      <c r="AA74" s="566"/>
      <c r="AB74" s="566"/>
      <c r="AC74" s="566"/>
      <c r="AD74" s="566"/>
      <c r="AE74" s="566"/>
      <c r="AF74" s="566"/>
      <c r="AG74" s="566"/>
      <c r="AH74" s="567"/>
    </row>
    <row r="75" spans="2:45" ht="18" x14ac:dyDescent="0.25">
      <c r="B75" s="565"/>
      <c r="C75" s="138"/>
      <c r="D75" s="130" t="s">
        <v>278</v>
      </c>
      <c r="E75" s="77" t="s">
        <v>459</v>
      </c>
      <c r="F75" s="249">
        <f>H57</f>
        <v>6186.8861878641592</v>
      </c>
      <c r="G75" s="248">
        <f>J57</f>
        <v>0.90319506392177507</v>
      </c>
      <c r="H75" s="257">
        <f>H57</f>
        <v>6186.8861878641592</v>
      </c>
      <c r="I75" s="258">
        <f>J57</f>
        <v>0.90319506392177507</v>
      </c>
      <c r="J75" s="249">
        <f>H57</f>
        <v>6186.8861878641592</v>
      </c>
      <c r="K75" s="248">
        <f>J57</f>
        <v>0.90319506392177507</v>
      </c>
      <c r="L75" s="155"/>
      <c r="M75" s="566"/>
      <c r="N75" s="566"/>
      <c r="O75" s="566"/>
      <c r="P75" s="566"/>
      <c r="Q75" s="566"/>
      <c r="R75" s="566"/>
      <c r="S75" s="566"/>
      <c r="T75" s="566"/>
      <c r="U75" s="566"/>
      <c r="V75" s="566"/>
      <c r="W75" s="566"/>
      <c r="X75" s="566"/>
      <c r="Y75" s="566"/>
      <c r="Z75" s="566"/>
      <c r="AA75" s="566"/>
      <c r="AB75" s="566"/>
      <c r="AC75" s="566"/>
      <c r="AD75" s="566"/>
      <c r="AE75" s="566"/>
      <c r="AF75" s="566"/>
      <c r="AG75" s="566"/>
      <c r="AH75" s="567"/>
    </row>
    <row r="76" spans="2:45" ht="18" x14ac:dyDescent="0.25">
      <c r="B76" s="565"/>
      <c r="C76" s="138"/>
      <c r="D76" s="130" t="s">
        <v>279</v>
      </c>
      <c r="E76" s="77" t="s">
        <v>459</v>
      </c>
      <c r="F76" s="249">
        <f>H51-H52</f>
        <v>479.93904171115946</v>
      </c>
      <c r="G76" s="248">
        <f>J51-J52</f>
        <v>7.0064093680461237E-2</v>
      </c>
      <c r="H76" s="257">
        <f>H58</f>
        <v>479.93904171115946</v>
      </c>
      <c r="I76" s="258">
        <f>J58</f>
        <v>7.0064093680461237E-2</v>
      </c>
      <c r="J76" s="249">
        <f>H51-H52</f>
        <v>479.93904171115946</v>
      </c>
      <c r="K76" s="248">
        <f>J51-J52</f>
        <v>7.0064093680461237E-2</v>
      </c>
      <c r="L76" s="155"/>
      <c r="M76" s="566"/>
      <c r="N76" s="566"/>
      <c r="O76" s="566"/>
      <c r="P76" s="566"/>
      <c r="Q76" s="566"/>
      <c r="R76" s="566"/>
      <c r="S76" s="566"/>
      <c r="T76" s="566"/>
      <c r="U76" s="566"/>
      <c r="V76" s="566"/>
      <c r="W76" s="566"/>
      <c r="X76" s="566"/>
      <c r="Y76" s="566"/>
      <c r="Z76" s="566"/>
      <c r="AA76" s="566"/>
      <c r="AB76" s="566"/>
      <c r="AC76" s="566"/>
      <c r="AD76" s="566"/>
      <c r="AE76" s="566"/>
      <c r="AF76" s="566"/>
      <c r="AG76" s="566"/>
      <c r="AH76" s="567"/>
    </row>
    <row r="77" spans="2:45" ht="18" x14ac:dyDescent="0.25">
      <c r="B77" s="565"/>
      <c r="C77" s="138"/>
      <c r="D77" s="130" t="s">
        <v>141</v>
      </c>
      <c r="E77" s="77" t="s">
        <v>459</v>
      </c>
      <c r="F77" s="249">
        <f>H50</f>
        <v>85</v>
      </c>
      <c r="G77" s="256">
        <f>J50</f>
        <v>1.2408759124087591E-2</v>
      </c>
      <c r="H77" s="257">
        <f>H50</f>
        <v>85</v>
      </c>
      <c r="I77" s="259">
        <f>J50</f>
        <v>1.2408759124087591E-2</v>
      </c>
      <c r="J77" s="249">
        <f>H50</f>
        <v>85</v>
      </c>
      <c r="K77" s="256">
        <f>J50</f>
        <v>1.2408759124087591E-2</v>
      </c>
      <c r="L77" s="155"/>
      <c r="M77" s="566"/>
      <c r="N77" s="566"/>
      <c r="O77" s="566"/>
      <c r="P77" s="566"/>
      <c r="Q77" s="566"/>
      <c r="R77" s="566"/>
      <c r="S77" s="566"/>
      <c r="T77" s="566"/>
      <c r="U77" s="566"/>
      <c r="V77" s="566"/>
      <c r="W77" s="566"/>
      <c r="X77" s="566"/>
      <c r="Y77" s="566"/>
      <c r="Z77" s="566"/>
      <c r="AA77" s="566"/>
      <c r="AB77" s="566"/>
      <c r="AC77" s="566"/>
      <c r="AD77" s="566"/>
      <c r="AE77" s="566"/>
      <c r="AF77" s="566"/>
      <c r="AG77" s="566"/>
      <c r="AH77" s="567"/>
    </row>
    <row r="78" spans="2:45" ht="18" x14ac:dyDescent="0.25">
      <c r="B78" s="565"/>
      <c r="C78" s="138"/>
      <c r="D78" s="130" t="s">
        <v>286</v>
      </c>
      <c r="E78" s="77" t="s">
        <v>459</v>
      </c>
      <c r="F78" s="249">
        <f>H58+H50</f>
        <v>564.93904171115946</v>
      </c>
      <c r="G78" s="256">
        <f>J58+J50</f>
        <v>8.247285280454883E-2</v>
      </c>
      <c r="H78" s="257">
        <f>H50+H51-H52</f>
        <v>564.93904171115946</v>
      </c>
      <c r="I78" s="259">
        <f>J50+J51-J52</f>
        <v>8.247285280454883E-2</v>
      </c>
      <c r="J78" s="249">
        <f>H58+H50</f>
        <v>564.93904171115946</v>
      </c>
      <c r="K78" s="256">
        <f>J58+J50</f>
        <v>8.247285280454883E-2</v>
      </c>
      <c r="L78" s="155"/>
      <c r="M78" s="566"/>
      <c r="N78" s="566"/>
      <c r="O78" s="566"/>
      <c r="P78" s="566"/>
      <c r="Q78" s="566"/>
      <c r="R78" s="566"/>
      <c r="S78" s="566"/>
      <c r="T78" s="566"/>
      <c r="U78" s="566"/>
      <c r="V78" s="566"/>
      <c r="W78" s="566"/>
      <c r="X78" s="566"/>
      <c r="Y78" s="566"/>
      <c r="Z78" s="566"/>
      <c r="AA78" s="566"/>
      <c r="AB78" s="566"/>
      <c r="AC78" s="566"/>
      <c r="AD78" s="566"/>
      <c r="AE78" s="566"/>
      <c r="AF78" s="566"/>
      <c r="AG78" s="566"/>
      <c r="AH78" s="567"/>
    </row>
    <row r="79" spans="2:45" x14ac:dyDescent="0.25">
      <c r="B79" s="565"/>
      <c r="C79" s="138"/>
      <c r="D79" s="130"/>
      <c r="E79" s="130"/>
      <c r="F79" s="130"/>
      <c r="G79" s="130"/>
      <c r="H79" s="253"/>
      <c r="I79" s="254"/>
      <c r="J79" s="130"/>
      <c r="K79" s="130"/>
      <c r="L79" s="155"/>
      <c r="M79" s="566"/>
      <c r="N79" s="566"/>
      <c r="O79" s="566"/>
      <c r="P79" s="566"/>
      <c r="Q79" s="566"/>
      <c r="R79" s="566"/>
      <c r="S79" s="566"/>
      <c r="T79" s="566"/>
      <c r="U79" s="566"/>
      <c r="V79" s="566"/>
      <c r="W79" s="566"/>
      <c r="X79" s="566"/>
      <c r="Y79" s="566"/>
      <c r="Z79" s="566"/>
      <c r="AA79" s="566"/>
      <c r="AB79" s="566"/>
      <c r="AC79" s="566"/>
      <c r="AD79" s="566"/>
      <c r="AE79" s="566"/>
      <c r="AF79" s="566"/>
      <c r="AG79" s="566"/>
      <c r="AH79" s="567"/>
    </row>
    <row r="80" spans="2:45" ht="15.75" x14ac:dyDescent="0.25">
      <c r="B80" s="565"/>
      <c r="C80" s="138"/>
      <c r="D80" s="60" t="s">
        <v>280</v>
      </c>
      <c r="E80" s="130"/>
      <c r="F80" s="130"/>
      <c r="G80" s="130"/>
      <c r="H80" s="253"/>
      <c r="I80" s="254"/>
      <c r="J80" s="130"/>
      <c r="K80" s="130"/>
      <c r="L80" s="155"/>
      <c r="M80" s="566"/>
      <c r="N80" s="566"/>
      <c r="O80" s="566"/>
      <c r="P80" s="566"/>
      <c r="Q80" s="566"/>
      <c r="R80" s="566"/>
      <c r="S80" s="566"/>
      <c r="T80" s="566"/>
      <c r="U80" s="566"/>
      <c r="V80" s="566"/>
      <c r="W80" s="566"/>
      <c r="X80" s="566"/>
      <c r="Y80" s="566"/>
      <c r="Z80" s="566"/>
      <c r="AA80" s="566"/>
      <c r="AB80" s="566"/>
      <c r="AC80" s="566"/>
      <c r="AD80" s="566"/>
      <c r="AE80" s="566"/>
      <c r="AF80" s="566"/>
      <c r="AG80" s="566"/>
      <c r="AH80" s="567"/>
    </row>
    <row r="81" spans="2:34" ht="18" x14ac:dyDescent="0.25">
      <c r="B81" s="565"/>
      <c r="C81" s="138"/>
      <c r="D81" s="130" t="s">
        <v>282</v>
      </c>
      <c r="E81" s="77" t="s">
        <v>459</v>
      </c>
      <c r="F81" s="249">
        <f>H46</f>
        <v>6850</v>
      </c>
      <c r="G81" s="248">
        <f>J46</f>
        <v>1</v>
      </c>
      <c r="H81" s="257">
        <f>H46</f>
        <v>6850</v>
      </c>
      <c r="I81" s="258">
        <f>J46</f>
        <v>1</v>
      </c>
      <c r="J81" s="249">
        <f>H46</f>
        <v>6850</v>
      </c>
      <c r="K81" s="248">
        <f>J46</f>
        <v>1</v>
      </c>
      <c r="L81" s="155"/>
      <c r="M81" s="566"/>
      <c r="N81" s="566"/>
      <c r="O81" s="566"/>
      <c r="P81" s="566"/>
      <c r="Q81" s="566"/>
      <c r="R81" s="566"/>
      <c r="S81" s="566"/>
      <c r="T81" s="566"/>
      <c r="U81" s="566"/>
      <c r="V81" s="566"/>
      <c r="W81" s="566"/>
      <c r="X81" s="566"/>
      <c r="Y81" s="566"/>
      <c r="Z81" s="566"/>
      <c r="AA81" s="566"/>
      <c r="AB81" s="566"/>
      <c r="AC81" s="566"/>
      <c r="AD81" s="566"/>
      <c r="AE81" s="566"/>
      <c r="AF81" s="566"/>
      <c r="AG81" s="566"/>
      <c r="AH81" s="567"/>
    </row>
    <row r="82" spans="2:34" ht="18" x14ac:dyDescent="0.25">
      <c r="B82" s="565"/>
      <c r="C82" s="138"/>
      <c r="D82" s="130" t="s">
        <v>281</v>
      </c>
      <c r="E82" s="77" t="s">
        <v>459</v>
      </c>
      <c r="F82" s="249">
        <f>H48</f>
        <v>98.174770424681029</v>
      </c>
      <c r="G82" s="256">
        <f>J48</f>
        <v>1.4332083273676063E-2</v>
      </c>
      <c r="H82" s="257">
        <f>H48+H50</f>
        <v>183.17477042468101</v>
      </c>
      <c r="I82" s="259">
        <f>J48+J50</f>
        <v>2.6740842397763656E-2</v>
      </c>
      <c r="J82" s="249">
        <f>H51+H50+H48</f>
        <v>1225</v>
      </c>
      <c r="K82" s="256">
        <f>J48+J50+J51</f>
        <v>0.17883211678832117</v>
      </c>
      <c r="L82" s="155"/>
      <c r="M82" s="566"/>
      <c r="N82" s="566"/>
      <c r="O82" s="566"/>
      <c r="P82" s="566"/>
      <c r="Q82" s="566"/>
      <c r="R82" s="566"/>
      <c r="S82" s="566"/>
      <c r="T82" s="566"/>
      <c r="U82" s="566"/>
      <c r="V82" s="566"/>
      <c r="W82" s="566"/>
      <c r="X82" s="566"/>
      <c r="Y82" s="566"/>
      <c r="Z82" s="566"/>
      <c r="AA82" s="566"/>
      <c r="AB82" s="566"/>
      <c r="AC82" s="566"/>
      <c r="AD82" s="566"/>
      <c r="AE82" s="566"/>
      <c r="AF82" s="566"/>
      <c r="AG82" s="566"/>
      <c r="AH82" s="567"/>
    </row>
    <row r="83" spans="2:34" ht="18" x14ac:dyDescent="0.25">
      <c r="B83" s="565"/>
      <c r="C83" s="138"/>
      <c r="D83" s="130" t="s">
        <v>295</v>
      </c>
      <c r="E83" s="77" t="s">
        <v>459</v>
      </c>
      <c r="F83" s="249">
        <f>H49</f>
        <v>6751.8252295753191</v>
      </c>
      <c r="G83" s="248">
        <f>J49</f>
        <v>0.98566791672632392</v>
      </c>
      <c r="H83" s="257">
        <f>H53+H51</f>
        <v>6666.8252295753191</v>
      </c>
      <c r="I83" s="259">
        <f>J51+J53</f>
        <v>0.97325915760223636</v>
      </c>
      <c r="J83" s="130">
        <f>H53</f>
        <v>5625</v>
      </c>
      <c r="K83" s="248">
        <f>J53</f>
        <v>0.82116788321167888</v>
      </c>
      <c r="L83" s="155"/>
      <c r="M83" s="566"/>
      <c r="N83" s="566"/>
      <c r="O83" s="566"/>
      <c r="P83" s="566"/>
      <c r="Q83" s="566"/>
      <c r="R83" s="566"/>
      <c r="S83" s="566"/>
      <c r="T83" s="566"/>
      <c r="U83" s="566"/>
      <c r="V83" s="566"/>
      <c r="W83" s="566"/>
      <c r="X83" s="566"/>
      <c r="Y83" s="566"/>
      <c r="Z83" s="566"/>
      <c r="AA83" s="566"/>
      <c r="AB83" s="566"/>
      <c r="AC83" s="566"/>
      <c r="AD83" s="566"/>
      <c r="AE83" s="566"/>
      <c r="AF83" s="566"/>
      <c r="AG83" s="566"/>
      <c r="AH83" s="567"/>
    </row>
    <row r="84" spans="2:34" ht="18" x14ac:dyDescent="0.25">
      <c r="B84" s="565"/>
      <c r="C84" s="138"/>
      <c r="D84" s="130" t="s">
        <v>296</v>
      </c>
      <c r="E84" s="77" t="s">
        <v>459</v>
      </c>
      <c r="F84" s="249">
        <f>H51+H50</f>
        <v>1126.8252295753189</v>
      </c>
      <c r="G84" s="248">
        <f>J50+J51</f>
        <v>0.16450003351464509</v>
      </c>
      <c r="H84" s="257">
        <f>H51</f>
        <v>1041.8252295753189</v>
      </c>
      <c r="I84" s="259">
        <f>J51</f>
        <v>0.1520912743905575</v>
      </c>
      <c r="J84" s="130">
        <v>0</v>
      </c>
      <c r="K84" s="248">
        <v>0</v>
      </c>
      <c r="L84" s="155"/>
      <c r="M84" s="566"/>
      <c r="N84" s="566"/>
      <c r="O84" s="566"/>
      <c r="P84" s="566"/>
      <c r="Q84" s="566"/>
      <c r="R84" s="566"/>
      <c r="S84" s="566"/>
      <c r="T84" s="566"/>
      <c r="U84" s="566"/>
      <c r="V84" s="566"/>
      <c r="W84" s="566"/>
      <c r="X84" s="566"/>
      <c r="Y84" s="566"/>
      <c r="Z84" s="566"/>
      <c r="AA84" s="566"/>
      <c r="AB84" s="566"/>
      <c r="AC84" s="566"/>
      <c r="AD84" s="566"/>
      <c r="AE84" s="566"/>
      <c r="AF84" s="566"/>
      <c r="AG84" s="566"/>
      <c r="AH84" s="567"/>
    </row>
    <row r="85" spans="2:34" ht="18" x14ac:dyDescent="0.25">
      <c r="B85" s="565"/>
      <c r="C85" s="138"/>
      <c r="D85" s="130" t="s">
        <v>283</v>
      </c>
      <c r="E85" s="77" t="s">
        <v>459</v>
      </c>
      <c r="F85" s="130">
        <v>0</v>
      </c>
      <c r="G85" s="261">
        <v>0</v>
      </c>
      <c r="H85" s="257">
        <f>H50</f>
        <v>85</v>
      </c>
      <c r="I85" s="259">
        <f>J50</f>
        <v>1.2408759124087591E-2</v>
      </c>
      <c r="J85" s="260">
        <f>H50+H51</f>
        <v>1126.8252295753189</v>
      </c>
      <c r="K85" s="256">
        <f>J50+J51</f>
        <v>0.16450003351464509</v>
      </c>
      <c r="L85" s="155"/>
      <c r="M85" s="566"/>
      <c r="N85" s="566"/>
      <c r="O85" s="566"/>
      <c r="P85" s="566"/>
      <c r="Q85" s="566"/>
      <c r="R85" s="566"/>
      <c r="S85" s="566"/>
      <c r="T85" s="566"/>
      <c r="U85" s="566"/>
      <c r="V85" s="566"/>
      <c r="W85" s="566"/>
      <c r="X85" s="566"/>
      <c r="Y85" s="566"/>
      <c r="Z85" s="566"/>
      <c r="AA85" s="566"/>
      <c r="AB85" s="566"/>
      <c r="AC85" s="566"/>
      <c r="AD85" s="566"/>
      <c r="AE85" s="566"/>
      <c r="AF85" s="566"/>
      <c r="AG85" s="566"/>
      <c r="AH85" s="567"/>
    </row>
    <row r="86" spans="2:34" x14ac:dyDescent="0.25">
      <c r="B86" s="565"/>
      <c r="C86" s="138"/>
      <c r="D86" s="130"/>
      <c r="E86" s="130"/>
      <c r="F86" s="130"/>
      <c r="G86" s="130"/>
      <c r="H86" s="253"/>
      <c r="I86" s="259"/>
      <c r="J86" s="130"/>
      <c r="K86" s="130"/>
      <c r="L86" s="155"/>
      <c r="M86" s="566"/>
      <c r="N86" s="566"/>
      <c r="O86" s="566"/>
      <c r="P86" s="566"/>
      <c r="Q86" s="566"/>
      <c r="R86" s="566"/>
      <c r="S86" s="566"/>
      <c r="T86" s="566"/>
      <c r="U86" s="566"/>
      <c r="V86" s="566"/>
      <c r="W86" s="566"/>
      <c r="X86" s="566"/>
      <c r="Y86" s="566"/>
      <c r="Z86" s="566"/>
      <c r="AA86" s="566"/>
      <c r="AB86" s="566"/>
      <c r="AC86" s="566"/>
      <c r="AD86" s="566"/>
      <c r="AE86" s="566"/>
      <c r="AF86" s="566"/>
      <c r="AG86" s="566"/>
      <c r="AH86" s="567"/>
    </row>
    <row r="87" spans="2:34" ht="15.75" x14ac:dyDescent="0.25">
      <c r="B87" s="565"/>
      <c r="C87" s="138"/>
      <c r="D87" s="60" t="s">
        <v>284</v>
      </c>
      <c r="E87" s="130"/>
      <c r="F87" s="130"/>
      <c r="G87" s="130"/>
      <c r="H87" s="253"/>
      <c r="I87" s="254"/>
      <c r="J87" s="130"/>
      <c r="K87" s="130"/>
      <c r="L87" s="155"/>
      <c r="M87" s="566"/>
      <c r="N87" s="566"/>
      <c r="O87" s="566"/>
      <c r="P87" s="566"/>
      <c r="Q87" s="566"/>
      <c r="R87" s="566"/>
      <c r="S87" s="566"/>
      <c r="T87" s="566"/>
      <c r="U87" s="566"/>
      <c r="V87" s="566"/>
      <c r="W87" s="566"/>
      <c r="X87" s="566"/>
      <c r="Y87" s="566"/>
      <c r="Z87" s="566"/>
      <c r="AA87" s="566"/>
      <c r="AB87" s="566"/>
      <c r="AC87" s="566"/>
      <c r="AD87" s="566"/>
      <c r="AE87" s="566"/>
      <c r="AF87" s="566"/>
      <c r="AG87" s="566"/>
      <c r="AH87" s="567"/>
    </row>
    <row r="88" spans="2:34" ht="18" x14ac:dyDescent="0.25">
      <c r="B88" s="565"/>
      <c r="C88" s="138"/>
      <c r="D88" s="130" t="s">
        <v>282</v>
      </c>
      <c r="E88" s="77" t="s">
        <v>459</v>
      </c>
      <c r="F88" s="249">
        <f>H46</f>
        <v>6850</v>
      </c>
      <c r="G88" s="248">
        <f>J46</f>
        <v>1</v>
      </c>
      <c r="H88" s="257">
        <f>H46</f>
        <v>6850</v>
      </c>
      <c r="I88" s="258">
        <f>J46</f>
        <v>1</v>
      </c>
      <c r="J88" s="249">
        <f>H46</f>
        <v>6850</v>
      </c>
      <c r="K88" s="248">
        <f>J46</f>
        <v>1</v>
      </c>
      <c r="L88" s="155"/>
      <c r="M88" s="566"/>
      <c r="N88" s="566"/>
      <c r="O88" s="566"/>
      <c r="P88" s="566"/>
      <c r="Q88" s="566"/>
      <c r="R88" s="566"/>
      <c r="S88" s="566"/>
      <c r="T88" s="566"/>
      <c r="U88" s="566"/>
      <c r="V88" s="566"/>
      <c r="W88" s="566"/>
      <c r="X88" s="566"/>
      <c r="Y88" s="566"/>
      <c r="Z88" s="566"/>
      <c r="AA88" s="566"/>
      <c r="AB88" s="566"/>
      <c r="AC88" s="566"/>
      <c r="AD88" s="566"/>
      <c r="AE88" s="566"/>
      <c r="AF88" s="566"/>
      <c r="AG88" s="566"/>
      <c r="AH88" s="567"/>
    </row>
    <row r="89" spans="2:34" ht="18" x14ac:dyDescent="0.25">
      <c r="B89" s="565"/>
      <c r="C89" s="138"/>
      <c r="D89" s="130" t="s">
        <v>281</v>
      </c>
      <c r="E89" s="77" t="s">
        <v>459</v>
      </c>
      <c r="F89" s="249">
        <f>H48</f>
        <v>98.174770424681029</v>
      </c>
      <c r="G89" s="256">
        <f>J48</f>
        <v>1.4332083273676063E-2</v>
      </c>
      <c r="H89" s="257">
        <f>H48+H50</f>
        <v>183.17477042468101</v>
      </c>
      <c r="I89" s="259">
        <f>J48+J50</f>
        <v>2.6740842397763656E-2</v>
      </c>
      <c r="J89" s="249">
        <f>H50+H48+H51-H52</f>
        <v>663.11381213584059</v>
      </c>
      <c r="K89" s="256">
        <f>J48+J50+J51-J52</f>
        <v>9.6804936078224907E-2</v>
      </c>
      <c r="L89" s="155"/>
      <c r="M89" s="566"/>
      <c r="N89" s="566"/>
      <c r="O89" s="566"/>
      <c r="P89" s="566"/>
      <c r="Q89" s="566"/>
      <c r="R89" s="566"/>
      <c r="S89" s="566"/>
      <c r="T89" s="566"/>
      <c r="U89" s="566"/>
      <c r="V89" s="566"/>
      <c r="W89" s="566"/>
      <c r="X89" s="566"/>
      <c r="Y89" s="566"/>
      <c r="Z89" s="566"/>
      <c r="AA89" s="566"/>
      <c r="AB89" s="566"/>
      <c r="AC89" s="566"/>
      <c r="AD89" s="566"/>
      <c r="AE89" s="566"/>
      <c r="AF89" s="566"/>
      <c r="AG89" s="566"/>
      <c r="AH89" s="567"/>
    </row>
    <row r="90" spans="2:34" ht="18" x14ac:dyDescent="0.25">
      <c r="B90" s="565"/>
      <c r="C90" s="138"/>
      <c r="D90" s="130" t="s">
        <v>295</v>
      </c>
      <c r="E90" s="77" t="s">
        <v>459</v>
      </c>
      <c r="F90" s="249">
        <f>H49</f>
        <v>6751.8252295753191</v>
      </c>
      <c r="G90" s="248">
        <f>J49</f>
        <v>0.98566791672632392</v>
      </c>
      <c r="H90" s="257">
        <f>H51+H53</f>
        <v>6666.8252295753191</v>
      </c>
      <c r="I90" s="259">
        <f>J51+J53</f>
        <v>0.97325915760223636</v>
      </c>
      <c r="J90" s="249">
        <f>H53+H52</f>
        <v>6186.8861878641592</v>
      </c>
      <c r="K90" s="248">
        <f>J53+J52</f>
        <v>0.90319506392177518</v>
      </c>
      <c r="L90" s="155"/>
      <c r="M90" s="566"/>
      <c r="N90" s="566"/>
      <c r="O90" s="566"/>
      <c r="P90" s="566"/>
      <c r="Q90" s="566"/>
      <c r="R90" s="566"/>
      <c r="S90" s="566"/>
      <c r="T90" s="566"/>
      <c r="U90" s="566"/>
      <c r="V90" s="566"/>
      <c r="W90" s="566"/>
      <c r="X90" s="566"/>
      <c r="Y90" s="566"/>
      <c r="Z90" s="566"/>
      <c r="AA90" s="566"/>
      <c r="AB90" s="566"/>
      <c r="AC90" s="566"/>
      <c r="AD90" s="566"/>
      <c r="AE90" s="566"/>
      <c r="AF90" s="566"/>
      <c r="AG90" s="566"/>
      <c r="AH90" s="567"/>
    </row>
    <row r="91" spans="2:34" ht="18" x14ac:dyDescent="0.25">
      <c r="B91" s="565"/>
      <c r="C91" s="138"/>
      <c r="D91" s="130" t="s">
        <v>296</v>
      </c>
      <c r="E91" s="77" t="s">
        <v>459</v>
      </c>
      <c r="F91" s="249">
        <f>H50+H51-H52</f>
        <v>564.93904171115946</v>
      </c>
      <c r="G91" s="248">
        <f>J50+J51-J52</f>
        <v>8.247285280454883E-2</v>
      </c>
      <c r="H91" s="257">
        <f>H51-H52</f>
        <v>479.93904171115946</v>
      </c>
      <c r="I91" s="259">
        <f>J51-J52</f>
        <v>7.0064093680461237E-2</v>
      </c>
      <c r="J91" s="249">
        <v>0</v>
      </c>
      <c r="K91" s="248">
        <v>0</v>
      </c>
      <c r="L91" s="155"/>
      <c r="M91" s="566"/>
      <c r="N91" s="566"/>
      <c r="O91" s="566"/>
      <c r="P91" s="566"/>
      <c r="Q91" s="566"/>
      <c r="R91" s="566"/>
      <c r="S91" s="566"/>
      <c r="T91" s="566"/>
      <c r="U91" s="566"/>
      <c r="V91" s="566"/>
      <c r="W91" s="566"/>
      <c r="X91" s="566"/>
      <c r="Y91" s="566"/>
      <c r="Z91" s="566"/>
      <c r="AA91" s="566"/>
      <c r="AB91" s="566"/>
      <c r="AC91" s="566"/>
      <c r="AD91" s="566"/>
      <c r="AE91" s="566"/>
      <c r="AF91" s="566"/>
      <c r="AG91" s="566"/>
      <c r="AH91" s="567"/>
    </row>
    <row r="92" spans="2:34" ht="18" x14ac:dyDescent="0.25">
      <c r="B92" s="565"/>
      <c r="C92" s="138"/>
      <c r="D92" s="130" t="s">
        <v>283</v>
      </c>
      <c r="E92" s="77" t="s">
        <v>459</v>
      </c>
      <c r="F92" s="130">
        <v>0</v>
      </c>
      <c r="G92" s="256">
        <v>0</v>
      </c>
      <c r="H92" s="257">
        <f>H50</f>
        <v>85</v>
      </c>
      <c r="I92" s="259">
        <f>J50</f>
        <v>1.2408759124087591E-2</v>
      </c>
      <c r="J92" s="249">
        <f>H50+H51-H52</f>
        <v>564.93904171115946</v>
      </c>
      <c r="K92" s="256">
        <f>J50+J51-J52</f>
        <v>8.247285280454883E-2</v>
      </c>
      <c r="L92" s="155"/>
      <c r="M92" s="566"/>
      <c r="N92" s="566"/>
      <c r="O92" s="566"/>
      <c r="P92" s="566"/>
      <c r="Q92" s="566"/>
      <c r="R92" s="566"/>
      <c r="S92" s="566"/>
      <c r="T92" s="566"/>
      <c r="U92" s="566"/>
      <c r="V92" s="566"/>
      <c r="W92" s="566"/>
      <c r="X92" s="566"/>
      <c r="Y92" s="566"/>
      <c r="Z92" s="566"/>
      <c r="AA92" s="566"/>
      <c r="AB92" s="566"/>
      <c r="AC92" s="566"/>
      <c r="AD92" s="566"/>
      <c r="AE92" s="566"/>
      <c r="AF92" s="566"/>
      <c r="AG92" s="566"/>
      <c r="AH92" s="567"/>
    </row>
    <row r="93" spans="2:34" ht="15.75" thickBot="1" x14ac:dyDescent="0.3">
      <c r="B93" s="565"/>
      <c r="C93" s="164"/>
      <c r="D93" s="166"/>
      <c r="E93" s="166"/>
      <c r="F93" s="166"/>
      <c r="G93" s="166"/>
      <c r="H93" s="166"/>
      <c r="I93" s="166"/>
      <c r="J93" s="166"/>
      <c r="K93" s="166"/>
      <c r="L93" s="167"/>
      <c r="M93" s="566"/>
      <c r="N93" s="566"/>
      <c r="O93" s="566"/>
      <c r="P93" s="566"/>
      <c r="Q93" s="566"/>
      <c r="R93" s="566"/>
      <c r="S93" s="566"/>
      <c r="T93" s="566"/>
      <c r="U93" s="566"/>
      <c r="V93" s="566"/>
      <c r="W93" s="566"/>
      <c r="X93" s="566"/>
      <c r="Y93" s="566"/>
      <c r="Z93" s="566"/>
      <c r="AA93" s="566"/>
      <c r="AB93" s="566"/>
      <c r="AC93" s="566"/>
      <c r="AD93" s="566"/>
      <c r="AE93" s="566"/>
      <c r="AF93" s="566"/>
      <c r="AG93" s="566"/>
      <c r="AH93" s="567"/>
    </row>
    <row r="94" spans="2:34" ht="15.75" thickBot="1" x14ac:dyDescent="0.3">
      <c r="B94" s="570"/>
      <c r="C94" s="571"/>
      <c r="D94" s="571"/>
      <c r="E94" s="571"/>
      <c r="F94" s="571"/>
      <c r="G94" s="571"/>
      <c r="H94" s="571"/>
      <c r="I94" s="571"/>
      <c r="J94" s="571"/>
      <c r="K94" s="571"/>
      <c r="L94" s="571"/>
      <c r="M94" s="571"/>
      <c r="N94" s="571"/>
      <c r="O94" s="571"/>
      <c r="P94" s="571"/>
      <c r="Q94" s="571"/>
      <c r="R94" s="571"/>
      <c r="S94" s="571"/>
      <c r="T94" s="571"/>
      <c r="U94" s="571"/>
      <c r="V94" s="571"/>
      <c r="W94" s="571"/>
      <c r="X94" s="571"/>
      <c r="Y94" s="571"/>
      <c r="Z94" s="571"/>
      <c r="AA94" s="571"/>
      <c r="AB94" s="571"/>
      <c r="AC94" s="571"/>
      <c r="AD94" s="571"/>
      <c r="AE94" s="571"/>
      <c r="AF94" s="571"/>
      <c r="AG94" s="571"/>
      <c r="AH94" s="572"/>
    </row>
  </sheetData>
  <phoneticPr fontId="13" type="noConversion"/>
  <pageMargins left="0.7" right="0.7" top="0.75" bottom="0.75" header="0.3" footer="0.3"/>
  <pageSetup paperSize="9" orientation="portrait" verticalDpi="0" r:id="rId1"/>
  <ignoredErrors>
    <ignoredError sqref="H41"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50B6D-93CA-471B-AF91-7FB887DC3AE4}">
  <sheetPr codeName="Sheet2">
    <tabColor theme="0" tint="-0.499984740745262"/>
  </sheetPr>
  <dimension ref="A1:AG46"/>
  <sheetViews>
    <sheetView zoomScale="110" zoomScaleNormal="110" workbookViewId="0">
      <selection activeCell="P34" sqref="P34"/>
    </sheetView>
  </sheetViews>
  <sheetFormatPr baseColWidth="10" defaultColWidth="9.140625" defaultRowHeight="18" customHeight="1" x14ac:dyDescent="0.25"/>
  <cols>
    <col min="1" max="1" width="3.7109375" style="1" customWidth="1"/>
    <col min="2" max="2" width="2.28515625" style="1" customWidth="1"/>
    <col min="3" max="3" width="5.85546875" style="1" customWidth="1"/>
    <col min="4" max="4" width="20" style="1" customWidth="1"/>
    <col min="5" max="5" width="15.28515625" style="1" customWidth="1"/>
    <col min="6" max="6" width="6.42578125" style="1" customWidth="1"/>
    <col min="7" max="7" width="19.7109375" style="1" customWidth="1"/>
    <col min="8" max="8" width="16.42578125" style="1" customWidth="1"/>
    <col min="9" max="9" width="14.85546875" style="1" customWidth="1"/>
    <col min="10" max="10" width="6.28515625" style="1" customWidth="1"/>
    <col min="11" max="13" width="9.140625" style="1"/>
    <col min="14" max="14" width="9.140625" style="1" customWidth="1"/>
    <col min="15" max="16" width="9.140625" style="1"/>
    <col min="17" max="17" width="3.28515625" style="1" customWidth="1"/>
    <col min="18" max="21" width="9.140625" style="1"/>
    <col min="22" max="22" width="2.7109375" style="1" customWidth="1"/>
    <col min="23" max="28" width="9.140625" style="1"/>
    <col min="29" max="29" width="12" style="1" customWidth="1"/>
    <col min="30" max="31" width="9.140625" style="1"/>
    <col min="32" max="32" width="12.7109375" style="1" customWidth="1"/>
    <col min="33" max="16384" width="9.140625" style="1"/>
  </cols>
  <sheetData>
    <row r="1" spans="1:33" ht="18" customHeight="1" thickBot="1" x14ac:dyDescent="0.4">
      <c r="A1" s="2"/>
    </row>
    <row r="2" spans="1:33" ht="24" customHeight="1" thickBot="1" x14ac:dyDescent="0.4">
      <c r="B2" s="84" t="s">
        <v>248</v>
      </c>
      <c r="C2" s="208"/>
      <c r="D2" s="85"/>
      <c r="E2" s="85"/>
      <c r="F2" s="85"/>
      <c r="G2" s="85"/>
      <c r="H2" s="85"/>
      <c r="I2" s="85"/>
      <c r="J2" s="85"/>
      <c r="K2" s="85"/>
      <c r="L2" s="85"/>
      <c r="M2" s="85"/>
      <c r="N2" s="85"/>
      <c r="O2" s="85"/>
      <c r="P2" s="85"/>
      <c r="Q2" s="85"/>
      <c r="R2" s="85"/>
      <c r="S2" s="85"/>
      <c r="T2" s="85"/>
      <c r="U2" s="85"/>
      <c r="V2" s="86"/>
      <c r="Y2" s="88"/>
      <c r="Z2" s="64"/>
      <c r="AA2" s="64"/>
      <c r="AB2" s="64"/>
      <c r="AC2" s="64"/>
      <c r="AD2" s="64"/>
      <c r="AE2" s="64"/>
    </row>
    <row r="3" spans="1:33" ht="18" customHeight="1" x14ac:dyDescent="0.25">
      <c r="B3" s="90"/>
      <c r="C3" s="47"/>
      <c r="D3" s="47"/>
      <c r="E3" s="47"/>
      <c r="F3" s="47"/>
      <c r="G3" s="47"/>
      <c r="H3" s="47"/>
      <c r="I3" s="47"/>
      <c r="J3" s="47"/>
      <c r="K3" s="47"/>
      <c r="L3" s="47"/>
      <c r="M3" s="47"/>
      <c r="N3" s="47"/>
      <c r="O3" s="47"/>
      <c r="P3" s="47"/>
      <c r="Q3" s="47"/>
      <c r="R3" s="47"/>
      <c r="S3" s="47"/>
      <c r="T3" s="47"/>
      <c r="U3" s="47"/>
      <c r="V3" s="91"/>
      <c r="Y3" s="64"/>
      <c r="Z3" s="64"/>
      <c r="AA3" s="64"/>
      <c r="AB3" s="64"/>
      <c r="AC3" s="64"/>
      <c r="AD3" s="64"/>
      <c r="AE3" s="64"/>
    </row>
    <row r="4" spans="1:33" ht="18" customHeight="1" x14ac:dyDescent="0.25">
      <c r="B4" s="90"/>
      <c r="C4" s="209"/>
      <c r="D4" s="635"/>
      <c r="E4" s="213" t="s">
        <v>232</v>
      </c>
      <c r="F4" s="213"/>
      <c r="G4" s="213" t="s">
        <v>207</v>
      </c>
      <c r="H4" s="213" t="s">
        <v>234</v>
      </c>
      <c r="I4" s="213" t="s">
        <v>236</v>
      </c>
      <c r="J4" s="214"/>
      <c r="K4" s="47"/>
      <c r="L4" s="47"/>
      <c r="M4" s="47"/>
      <c r="N4" s="47"/>
      <c r="O4" s="47"/>
      <c r="P4" s="47"/>
      <c r="Q4" s="49"/>
      <c r="R4" s="49"/>
      <c r="S4" s="47"/>
      <c r="T4" s="47"/>
      <c r="U4" s="47"/>
      <c r="V4" s="91"/>
      <c r="Y4" s="64"/>
      <c r="Z4" s="64"/>
      <c r="AA4" s="64"/>
      <c r="AB4" s="64"/>
      <c r="AC4" s="64"/>
      <c r="AD4" s="64"/>
      <c r="AE4" s="64"/>
    </row>
    <row r="5" spans="1:33" ht="25.5" customHeight="1" x14ac:dyDescent="0.25">
      <c r="B5" s="90"/>
      <c r="C5" s="210"/>
      <c r="D5" s="636"/>
      <c r="E5" s="215" t="s">
        <v>233</v>
      </c>
      <c r="F5" s="215"/>
      <c r="G5" s="215" t="s">
        <v>208</v>
      </c>
      <c r="H5" s="215" t="s">
        <v>235</v>
      </c>
      <c r="I5" s="215" t="s">
        <v>237</v>
      </c>
      <c r="J5" s="216"/>
      <c r="K5" s="47"/>
      <c r="L5" s="47"/>
      <c r="M5" s="47"/>
      <c r="N5" s="47"/>
      <c r="O5" s="47"/>
      <c r="P5" s="47"/>
      <c r="Q5" s="47"/>
      <c r="R5" s="47"/>
      <c r="S5" s="47"/>
      <c r="T5" s="47"/>
      <c r="U5" s="47"/>
      <c r="V5" s="91"/>
      <c r="Y5" s="64"/>
      <c r="Z5" s="64"/>
      <c r="AA5" s="64"/>
      <c r="AB5" s="64"/>
      <c r="AC5" s="64"/>
      <c r="AD5" s="64"/>
      <c r="AE5" s="64"/>
    </row>
    <row r="6" spans="1:33" ht="18" customHeight="1" x14ac:dyDescent="0.25">
      <c r="B6" s="90"/>
      <c r="C6" s="637" t="s">
        <v>256</v>
      </c>
      <c r="D6" s="217" t="s">
        <v>169</v>
      </c>
      <c r="E6" s="218"/>
      <c r="F6" s="218"/>
      <c r="G6" s="219"/>
      <c r="H6" s="220">
        <v>0.05</v>
      </c>
      <c r="I6" s="311">
        <v>0.05</v>
      </c>
      <c r="J6" s="221"/>
      <c r="K6" s="47"/>
      <c r="L6" s="47"/>
      <c r="M6" s="47"/>
      <c r="N6" s="47"/>
      <c r="O6" s="47"/>
      <c r="P6" s="47"/>
      <c r="Q6" s="47"/>
      <c r="R6" s="47"/>
      <c r="S6" s="47"/>
      <c r="T6" s="47"/>
      <c r="U6" s="47"/>
      <c r="V6" s="91"/>
      <c r="Y6" s="64"/>
      <c r="Z6" s="79"/>
      <c r="AA6" s="64"/>
      <c r="AB6" s="64"/>
      <c r="AC6" s="64"/>
      <c r="AD6" s="64"/>
      <c r="AE6" s="64"/>
    </row>
    <row r="7" spans="1:33" ht="18" customHeight="1" x14ac:dyDescent="0.25">
      <c r="B7" s="90"/>
      <c r="C7" s="638"/>
      <c r="D7" s="217" t="s">
        <v>170</v>
      </c>
      <c r="E7" s="218"/>
      <c r="F7" s="218"/>
      <c r="G7" s="219"/>
      <c r="H7" s="220">
        <v>0.05</v>
      </c>
      <c r="I7" s="220">
        <v>0.05</v>
      </c>
      <c r="J7" s="221"/>
      <c r="K7" s="47"/>
      <c r="L7" s="47"/>
      <c r="M7" s="47"/>
      <c r="N7" s="47"/>
      <c r="O7" s="47"/>
      <c r="P7" s="47"/>
      <c r="Q7" s="47"/>
      <c r="R7" s="47"/>
      <c r="S7" s="47"/>
      <c r="T7" s="47"/>
      <c r="U7" s="47"/>
      <c r="V7" s="91"/>
      <c r="Y7" s="64"/>
      <c r="Z7" s="64"/>
      <c r="AA7" s="64"/>
      <c r="AB7" s="64"/>
      <c r="AC7" s="64"/>
      <c r="AD7" s="64"/>
      <c r="AE7" s="64"/>
    </row>
    <row r="8" spans="1:33" ht="18" customHeight="1" x14ac:dyDescent="0.25">
      <c r="B8" s="90"/>
      <c r="C8" s="638"/>
      <c r="D8" s="217" t="s">
        <v>171</v>
      </c>
      <c r="E8" s="220">
        <v>0.45</v>
      </c>
      <c r="F8" s="220"/>
      <c r="G8" s="220">
        <v>0.3</v>
      </c>
      <c r="H8" s="220">
        <v>0.35</v>
      </c>
      <c r="I8" s="220">
        <v>0.2</v>
      </c>
      <c r="J8" s="221"/>
      <c r="K8" s="47"/>
      <c r="L8" s="47"/>
      <c r="M8" s="47"/>
      <c r="N8" s="47"/>
      <c r="O8" s="47"/>
      <c r="P8" s="47"/>
      <c r="Q8" s="47"/>
      <c r="R8" s="47"/>
      <c r="S8" s="47"/>
      <c r="T8" s="47"/>
      <c r="U8" s="47"/>
      <c r="V8" s="91"/>
      <c r="Y8" s="64"/>
      <c r="Z8" s="64"/>
      <c r="AA8" s="64"/>
      <c r="AB8" s="64"/>
      <c r="AC8" s="64"/>
      <c r="AD8" s="64"/>
      <c r="AE8" s="64"/>
    </row>
    <row r="9" spans="1:33" ht="18" customHeight="1" x14ac:dyDescent="0.25">
      <c r="B9" s="90"/>
      <c r="C9" s="638"/>
      <c r="D9" s="217" t="s">
        <v>172</v>
      </c>
      <c r="E9" s="220">
        <v>0.3</v>
      </c>
      <c r="F9" s="220"/>
      <c r="G9" s="220">
        <v>0.3</v>
      </c>
      <c r="H9" s="220">
        <v>0.25</v>
      </c>
      <c r="I9" s="220">
        <v>0.35</v>
      </c>
      <c r="J9" s="221"/>
      <c r="K9" s="47"/>
      <c r="L9" s="47"/>
      <c r="M9" s="47"/>
      <c r="N9" s="47"/>
      <c r="O9" s="47"/>
      <c r="P9" s="47"/>
      <c r="Q9" s="47"/>
      <c r="R9" s="47"/>
      <c r="S9" s="47"/>
      <c r="T9" s="47"/>
      <c r="U9" s="47"/>
      <c r="V9" s="91"/>
      <c r="Y9" s="64"/>
      <c r="Z9" s="64"/>
      <c r="AA9" s="64"/>
      <c r="AB9" s="64"/>
      <c r="AC9" s="64"/>
      <c r="AD9" s="64"/>
      <c r="AE9" s="64"/>
    </row>
    <row r="10" spans="1:33" ht="18" customHeight="1" x14ac:dyDescent="0.25">
      <c r="B10" s="90"/>
      <c r="C10" s="638"/>
      <c r="D10" s="222" t="s">
        <v>209</v>
      </c>
      <c r="E10" s="223">
        <v>0.2</v>
      </c>
      <c r="F10" s="223"/>
      <c r="G10" s="223">
        <v>0.1</v>
      </c>
      <c r="H10" s="223">
        <v>0.1</v>
      </c>
      <c r="I10" s="223">
        <v>0.2</v>
      </c>
      <c r="J10" s="224"/>
      <c r="K10" s="47"/>
      <c r="L10" s="47"/>
      <c r="M10" s="47"/>
      <c r="N10" s="47"/>
      <c r="O10" s="47"/>
      <c r="P10" s="47"/>
      <c r="Q10" s="47"/>
      <c r="R10" s="47"/>
      <c r="S10" s="47"/>
      <c r="T10" s="47"/>
      <c r="U10" s="47"/>
      <c r="V10" s="91"/>
      <c r="Y10" s="64"/>
      <c r="Z10" s="87"/>
      <c r="AA10" s="64"/>
      <c r="AB10" s="64"/>
      <c r="AC10" s="64"/>
      <c r="AD10" s="64"/>
      <c r="AE10" s="64"/>
    </row>
    <row r="11" spans="1:33" ht="18" customHeight="1" x14ac:dyDescent="0.25">
      <c r="B11" s="90"/>
      <c r="C11" s="639"/>
      <c r="D11" s="225" t="s">
        <v>255</v>
      </c>
      <c r="E11" s="226">
        <f>SUM(E8:E10)</f>
        <v>0.95</v>
      </c>
      <c r="F11" s="226"/>
      <c r="G11" s="226">
        <f>SUM(G8:G10)</f>
        <v>0.7</v>
      </c>
      <c r="H11" s="226">
        <f>SUM(H6:H10)</f>
        <v>0.79999999999999993</v>
      </c>
      <c r="I11" s="226">
        <f>SUM(I6:I10)</f>
        <v>0.85000000000000009</v>
      </c>
      <c r="J11" s="227"/>
      <c r="K11" s="47" t="s">
        <v>257</v>
      </c>
      <c r="L11" s="47"/>
      <c r="M11" s="47"/>
      <c r="N11" s="47"/>
      <c r="O11" s="47"/>
      <c r="P11" s="47"/>
      <c r="Q11" s="47"/>
      <c r="R11" s="47"/>
      <c r="S11" s="47"/>
      <c r="T11" s="47"/>
      <c r="U11" s="47"/>
      <c r="V11" s="91"/>
      <c r="Y11" s="64"/>
      <c r="Z11" s="87"/>
      <c r="AA11" s="64"/>
      <c r="AB11" s="64"/>
      <c r="AC11" s="64"/>
      <c r="AD11" s="64"/>
      <c r="AE11" s="64"/>
    </row>
    <row r="12" spans="1:33" ht="29.25" customHeight="1" x14ac:dyDescent="0.25">
      <c r="B12" s="90"/>
      <c r="C12" s="211"/>
      <c r="D12" s="225" t="s">
        <v>210</v>
      </c>
      <c r="E12" s="226">
        <v>0.05</v>
      </c>
      <c r="F12" s="226"/>
      <c r="G12" s="226">
        <v>0.15</v>
      </c>
      <c r="H12" s="226">
        <v>0.1</v>
      </c>
      <c r="I12" s="226">
        <v>0.1</v>
      </c>
      <c r="J12" s="227"/>
      <c r="K12" s="47" t="s">
        <v>261</v>
      </c>
      <c r="L12" s="47"/>
      <c r="M12" s="47"/>
      <c r="N12" s="47"/>
      <c r="O12" s="47"/>
      <c r="P12" s="47"/>
      <c r="Q12" s="47"/>
      <c r="R12" s="47"/>
      <c r="S12" s="47"/>
      <c r="T12" s="47"/>
      <c r="U12" s="47"/>
      <c r="V12" s="91"/>
      <c r="Y12" s="64"/>
      <c r="Z12" s="64"/>
      <c r="AA12" s="64"/>
      <c r="AB12" s="64"/>
      <c r="AC12" s="64"/>
      <c r="AD12" s="64"/>
      <c r="AE12" s="64"/>
    </row>
    <row r="13" spans="1:33" ht="18" customHeight="1" x14ac:dyDescent="0.25">
      <c r="B13" s="90"/>
      <c r="C13" s="210"/>
      <c r="D13" s="228" t="s">
        <v>211</v>
      </c>
      <c r="E13" s="229"/>
      <c r="F13" s="229"/>
      <c r="G13" s="230">
        <v>0.15</v>
      </c>
      <c r="H13" s="230">
        <v>0.1</v>
      </c>
      <c r="I13" s="230">
        <v>0.05</v>
      </c>
      <c r="J13" s="231"/>
      <c r="K13" s="47" t="s">
        <v>262</v>
      </c>
      <c r="L13" s="47"/>
      <c r="M13" s="47"/>
      <c r="N13" s="47"/>
      <c r="O13" s="47"/>
      <c r="P13" s="47"/>
      <c r="Q13" s="47"/>
      <c r="R13" s="47"/>
      <c r="S13" s="47"/>
      <c r="T13" s="47"/>
      <c r="U13" s="47"/>
      <c r="V13" s="91"/>
      <c r="Y13" s="64"/>
      <c r="Z13" s="79"/>
      <c r="AA13" s="64"/>
      <c r="AB13" s="64"/>
      <c r="AC13" s="64"/>
      <c r="AD13" s="64"/>
      <c r="AE13" s="64"/>
    </row>
    <row r="14" spans="1:33" ht="18" customHeight="1" x14ac:dyDescent="0.25">
      <c r="B14" s="90"/>
      <c r="C14" s="47"/>
      <c r="D14" s="47"/>
      <c r="E14" s="204"/>
      <c r="F14" s="204"/>
      <c r="G14" s="204"/>
      <c r="H14" s="47"/>
      <c r="I14" s="204"/>
      <c r="J14" s="204"/>
      <c r="K14" s="47"/>
      <c r="L14" s="47"/>
      <c r="M14" s="47"/>
      <c r="N14" s="47"/>
      <c r="O14" s="47"/>
      <c r="P14" s="47"/>
      <c r="Q14" s="47"/>
      <c r="R14" s="47"/>
      <c r="S14" s="47"/>
      <c r="T14" s="47"/>
      <c r="U14" s="47"/>
      <c r="V14" s="91"/>
    </row>
    <row r="15" spans="1:33" ht="18" customHeight="1" x14ac:dyDescent="0.25">
      <c r="B15" s="90"/>
      <c r="C15" s="47" t="s">
        <v>212</v>
      </c>
      <c r="D15" s="130"/>
      <c r="E15" s="47"/>
      <c r="F15" s="47"/>
      <c r="G15" s="47"/>
      <c r="H15" s="47"/>
      <c r="I15" s="47"/>
      <c r="J15" s="47"/>
      <c r="K15" s="47"/>
      <c r="L15" s="47"/>
      <c r="M15" s="47"/>
      <c r="N15" s="47"/>
      <c r="O15" s="47"/>
      <c r="P15" s="47"/>
      <c r="Q15" s="47"/>
      <c r="R15" s="47"/>
      <c r="S15" s="47"/>
      <c r="T15" s="47"/>
      <c r="U15" s="47"/>
      <c r="V15" s="91"/>
    </row>
    <row r="16" spans="1:33" ht="18" customHeight="1" x14ac:dyDescent="0.25">
      <c r="B16" s="90"/>
      <c r="C16" s="47" t="s">
        <v>213</v>
      </c>
      <c r="D16" s="130"/>
      <c r="E16" s="47"/>
      <c r="F16" s="47"/>
      <c r="G16" s="47"/>
      <c r="H16" s="47"/>
      <c r="I16" s="47"/>
      <c r="J16" s="47"/>
      <c r="K16" s="47"/>
      <c r="L16" s="47"/>
      <c r="M16" s="47"/>
      <c r="N16" s="47"/>
      <c r="O16" s="47"/>
      <c r="P16" s="47"/>
      <c r="Q16" s="47"/>
      <c r="R16" s="47"/>
      <c r="S16" s="47"/>
      <c r="T16" s="47"/>
      <c r="U16" s="47"/>
      <c r="V16" s="91"/>
      <c r="Z16" s="132"/>
      <c r="AC16" s="132"/>
      <c r="AD16" s="132"/>
      <c r="AE16" s="132"/>
      <c r="AF16" s="132"/>
      <c r="AG16" s="132"/>
    </row>
    <row r="17" spans="2:33" ht="18" customHeight="1" x14ac:dyDescent="0.25">
      <c r="B17" s="90"/>
      <c r="C17" s="47" t="s">
        <v>214</v>
      </c>
      <c r="D17" s="130"/>
      <c r="E17" s="47"/>
      <c r="F17" s="47"/>
      <c r="G17" s="47"/>
      <c r="H17" s="47"/>
      <c r="I17" s="47"/>
      <c r="J17" s="47"/>
      <c r="K17" s="47"/>
      <c r="L17" s="47"/>
      <c r="M17" s="47"/>
      <c r="N17" s="47"/>
      <c r="O17" s="47"/>
      <c r="P17" s="47"/>
      <c r="Q17" s="47"/>
      <c r="R17" s="47"/>
      <c r="S17" s="47"/>
      <c r="T17" s="47"/>
      <c r="U17" s="47"/>
      <c r="V17" s="91"/>
      <c r="AC17" s="237"/>
      <c r="AD17" s="237"/>
      <c r="AE17" s="132"/>
      <c r="AF17" s="237"/>
      <c r="AG17" s="237"/>
    </row>
    <row r="18" spans="2:33" ht="18" customHeight="1" x14ac:dyDescent="0.25">
      <c r="B18" s="90"/>
      <c r="C18" s="47" t="s">
        <v>245</v>
      </c>
      <c r="D18" s="130"/>
      <c r="E18" s="47"/>
      <c r="F18" s="47"/>
      <c r="G18" s="47"/>
      <c r="H18" s="47"/>
      <c r="I18" s="47"/>
      <c r="J18" s="47"/>
      <c r="K18" s="47"/>
      <c r="L18" s="47"/>
      <c r="M18" s="47"/>
      <c r="N18" s="47"/>
      <c r="O18" s="47"/>
      <c r="P18" s="47"/>
      <c r="Q18" s="47"/>
      <c r="R18" s="47"/>
      <c r="S18" s="47"/>
      <c r="T18" s="47"/>
      <c r="U18" s="47"/>
      <c r="V18" s="91"/>
      <c r="AC18" s="314"/>
      <c r="AD18" s="314"/>
      <c r="AE18" s="313"/>
      <c r="AF18" s="314"/>
      <c r="AG18" s="314"/>
    </row>
    <row r="19" spans="2:33" ht="18" customHeight="1" x14ac:dyDescent="0.25">
      <c r="B19" s="90"/>
      <c r="C19" s="47" t="s">
        <v>249</v>
      </c>
      <c r="D19" s="130"/>
      <c r="E19" s="47"/>
      <c r="F19" s="47"/>
      <c r="G19" s="47"/>
      <c r="H19" s="47"/>
      <c r="I19" s="47"/>
      <c r="J19" s="47"/>
      <c r="K19" s="47"/>
      <c r="L19" s="47"/>
      <c r="M19" s="47"/>
      <c r="N19" s="47"/>
      <c r="O19" s="47"/>
      <c r="P19" s="47"/>
      <c r="Q19" s="47"/>
      <c r="R19" s="47"/>
      <c r="S19" s="47"/>
      <c r="T19" s="47"/>
      <c r="U19" s="47"/>
      <c r="V19" s="91"/>
      <c r="Z19" s="312"/>
      <c r="AA19" s="132"/>
      <c r="AC19" s="312"/>
      <c r="AD19" s="312"/>
      <c r="AE19" s="312"/>
      <c r="AF19" s="312"/>
      <c r="AG19" s="312"/>
    </row>
    <row r="20" spans="2:33" ht="18" customHeight="1" x14ac:dyDescent="0.25">
      <c r="B20" s="138"/>
      <c r="C20" s="130"/>
      <c r="D20" s="130"/>
      <c r="E20" s="130"/>
      <c r="F20" s="130"/>
      <c r="G20" s="130"/>
      <c r="H20" s="130"/>
      <c r="I20" s="130"/>
      <c r="J20" s="130"/>
      <c r="K20" s="130"/>
      <c r="L20" s="130"/>
      <c r="M20" s="130"/>
      <c r="N20" s="130"/>
      <c r="O20" s="130"/>
      <c r="P20" s="130"/>
      <c r="Q20" s="130"/>
      <c r="R20" s="130"/>
      <c r="S20" s="130"/>
      <c r="T20" s="130"/>
      <c r="U20" s="130"/>
      <c r="V20" s="155"/>
    </row>
    <row r="21" spans="2:33" ht="18" customHeight="1" x14ac:dyDescent="0.25">
      <c r="B21" s="138"/>
      <c r="C21" s="139" t="s">
        <v>307</v>
      </c>
      <c r="D21" s="318"/>
      <c r="E21" s="318"/>
      <c r="F21" s="318"/>
      <c r="G21" s="319"/>
      <c r="H21" s="319"/>
      <c r="I21" s="319"/>
      <c r="J21" s="319"/>
      <c r="K21" s="319"/>
      <c r="L21" s="292"/>
      <c r="M21" s="292"/>
      <c r="N21" s="292"/>
      <c r="O21" s="292"/>
      <c r="P21" s="292"/>
      <c r="Q21" s="292"/>
      <c r="R21" s="293"/>
      <c r="S21" s="130"/>
      <c r="T21" s="130"/>
      <c r="U21" s="130"/>
      <c r="V21" s="155"/>
    </row>
    <row r="22" spans="2:33" ht="18" customHeight="1" x14ac:dyDescent="0.25">
      <c r="B22" s="300"/>
      <c r="C22" s="173"/>
      <c r="D22" s="301" t="s">
        <v>140</v>
      </c>
      <c r="E22" s="291"/>
      <c r="F22" s="302"/>
      <c r="G22" s="302"/>
      <c r="H22" s="291"/>
      <c r="I22" s="291"/>
      <c r="J22" s="82"/>
      <c r="K22" s="82"/>
      <c r="L22" s="82"/>
      <c r="M22" s="171"/>
      <c r="N22" s="171"/>
      <c r="O22" s="171"/>
      <c r="P22" s="171"/>
      <c r="Q22" s="171"/>
      <c r="R22" s="172"/>
      <c r="S22" s="130"/>
      <c r="T22" s="130"/>
      <c r="U22" s="130"/>
      <c r="V22" s="155"/>
    </row>
    <row r="23" spans="2:33" ht="18" customHeight="1" x14ac:dyDescent="0.25">
      <c r="B23" s="300"/>
      <c r="C23" s="173"/>
      <c r="D23" s="303" t="s">
        <v>289</v>
      </c>
      <c r="E23" s="205"/>
      <c r="F23" s="205">
        <f>IF('Input og output'!H13&lt;Grøft!H56,Grøft!F69,Grøft!F75)</f>
        <v>6186.8861878641592</v>
      </c>
      <c r="G23" s="205"/>
      <c r="H23" s="171" t="s">
        <v>445</v>
      </c>
      <c r="I23" s="309">
        <f>IF('Input og output'!H13&lt;Grøft!H56,Grøft!G69,Grøft!G75)</f>
        <v>0.90319506392177507</v>
      </c>
      <c r="J23" s="82"/>
      <c r="K23" s="82"/>
      <c r="L23" s="82"/>
      <c r="M23" s="171"/>
      <c r="N23" s="171"/>
      <c r="O23" s="171"/>
      <c r="P23" s="171"/>
      <c r="Q23" s="171"/>
      <c r="R23" s="172"/>
      <c r="S23" s="130"/>
      <c r="T23" s="130"/>
      <c r="U23" s="130"/>
      <c r="V23" s="155"/>
    </row>
    <row r="24" spans="2:33" ht="18" customHeight="1" x14ac:dyDescent="0.25">
      <c r="B24" s="300"/>
      <c r="C24" s="173"/>
      <c r="D24" s="171" t="s">
        <v>290</v>
      </c>
      <c r="E24" s="205"/>
      <c r="F24" s="205">
        <f>IF('Input og output'!H13&lt;Grøft!H56,Grøft!F70,Grøft!F76)</f>
        <v>479.93904171115946</v>
      </c>
      <c r="G24" s="205"/>
      <c r="H24" s="171" t="s">
        <v>445</v>
      </c>
      <c r="I24" s="309">
        <f>IF('Input og output'!H13&lt;Grøft!H56,Grøft!G70,Grøft!G76)</f>
        <v>7.0064093680461237E-2</v>
      </c>
      <c r="J24" s="82"/>
      <c r="K24" s="82"/>
      <c r="L24" s="82"/>
      <c r="M24" s="171"/>
      <c r="N24" s="171"/>
      <c r="O24" s="171"/>
      <c r="P24" s="171"/>
      <c r="Q24" s="171"/>
      <c r="R24" s="172"/>
      <c r="S24" s="130"/>
      <c r="T24" s="130"/>
      <c r="U24" s="130"/>
      <c r="V24" s="155"/>
    </row>
    <row r="25" spans="2:33" ht="18" customHeight="1" x14ac:dyDescent="0.25">
      <c r="B25" s="300"/>
      <c r="C25" s="173"/>
      <c r="D25" s="171" t="s">
        <v>291</v>
      </c>
      <c r="E25" s="205"/>
      <c r="F25" s="205">
        <f>Grøft!H50</f>
        <v>85</v>
      </c>
      <c r="G25" s="205"/>
      <c r="H25" s="171" t="s">
        <v>445</v>
      </c>
      <c r="I25" s="309">
        <f>Grøft!J50</f>
        <v>1.2408759124087591E-2</v>
      </c>
      <c r="J25" s="82"/>
      <c r="K25" s="82"/>
      <c r="L25" s="82"/>
      <c r="M25" s="171"/>
      <c r="N25" s="171"/>
      <c r="O25" s="171"/>
      <c r="P25" s="171"/>
      <c r="Q25" s="171"/>
      <c r="R25" s="172"/>
      <c r="S25" s="130"/>
      <c r="T25" s="130"/>
      <c r="U25" s="130"/>
      <c r="V25" s="155"/>
    </row>
    <row r="26" spans="2:33" ht="18" customHeight="1" x14ac:dyDescent="0.25">
      <c r="B26" s="300"/>
      <c r="C26" s="173"/>
      <c r="D26" s="291" t="s">
        <v>292</v>
      </c>
      <c r="E26" s="305"/>
      <c r="F26" s="305">
        <f>Grøft!H48</f>
        <v>98.174770424681029</v>
      </c>
      <c r="G26" s="305"/>
      <c r="H26" s="291" t="s">
        <v>445</v>
      </c>
      <c r="I26" s="310">
        <f>Grøft!J48</f>
        <v>1.4332083273676063E-2</v>
      </c>
      <c r="J26" s="82"/>
      <c r="K26" s="82"/>
      <c r="L26" s="82"/>
      <c r="M26" s="171"/>
      <c r="N26" s="171"/>
      <c r="O26" s="171"/>
      <c r="P26" s="171"/>
      <c r="Q26" s="171"/>
      <c r="R26" s="172"/>
      <c r="S26" s="130"/>
      <c r="T26" s="130"/>
      <c r="U26" s="130"/>
      <c r="V26" s="155"/>
    </row>
    <row r="27" spans="2:33" ht="18" customHeight="1" x14ac:dyDescent="0.25">
      <c r="B27" s="138"/>
      <c r="C27" s="173"/>
      <c r="D27" s="306" t="s">
        <v>314</v>
      </c>
      <c r="E27" s="306"/>
      <c r="F27" s="307">
        <f>SUM(F23:F26)</f>
        <v>6850</v>
      </c>
      <c r="G27" s="307"/>
      <c r="H27" s="308" t="s">
        <v>445</v>
      </c>
      <c r="I27" s="315">
        <f>SUM(I23:I26)</f>
        <v>0.99999999999999989</v>
      </c>
      <c r="J27" s="320"/>
      <c r="K27" s="320"/>
      <c r="L27" s="320"/>
      <c r="M27" s="171"/>
      <c r="N27" s="171"/>
      <c r="O27" s="171"/>
      <c r="P27" s="171"/>
      <c r="Q27" s="171"/>
      <c r="R27" s="172"/>
      <c r="S27" s="130"/>
      <c r="T27" s="130"/>
      <c r="U27" s="130"/>
      <c r="V27" s="155"/>
    </row>
    <row r="28" spans="2:33" ht="18" customHeight="1" x14ac:dyDescent="0.25">
      <c r="B28" s="138"/>
      <c r="C28" s="173"/>
      <c r="D28" s="171"/>
      <c r="E28" s="171"/>
      <c r="F28" s="205"/>
      <c r="G28" s="205"/>
      <c r="H28" s="304"/>
      <c r="I28" s="320"/>
      <c r="J28" s="320"/>
      <c r="K28" s="320"/>
      <c r="L28" s="320"/>
      <c r="M28" s="171"/>
      <c r="N28" s="171"/>
      <c r="O28" s="171"/>
      <c r="P28" s="171"/>
      <c r="Q28" s="171"/>
      <c r="R28" s="172"/>
      <c r="S28" s="130"/>
      <c r="T28" s="130"/>
      <c r="U28" s="130"/>
      <c r="V28" s="155"/>
    </row>
    <row r="29" spans="2:33" ht="18" customHeight="1" x14ac:dyDescent="0.25">
      <c r="B29" s="138"/>
      <c r="C29" s="173"/>
      <c r="D29" s="321"/>
      <c r="E29" s="322"/>
      <c r="F29" s="323"/>
      <c r="G29" s="323"/>
      <c r="H29" s="324"/>
      <c r="I29" s="324"/>
      <c r="J29" s="324"/>
      <c r="K29" s="324"/>
      <c r="L29" s="324"/>
      <c r="M29" s="171"/>
      <c r="N29" s="171"/>
      <c r="O29" s="171"/>
      <c r="P29" s="171"/>
      <c r="Q29" s="171"/>
      <c r="R29" s="172"/>
      <c r="S29" s="130"/>
      <c r="T29" s="130"/>
      <c r="U29" s="130"/>
      <c r="V29" s="155"/>
    </row>
    <row r="30" spans="2:33" ht="18" customHeight="1" x14ac:dyDescent="0.25">
      <c r="B30" s="138"/>
      <c r="C30" s="173"/>
      <c r="D30" s="325"/>
      <c r="E30" s="322"/>
      <c r="F30" s="299"/>
      <c r="G30" s="299"/>
      <c r="H30" s="82"/>
      <c r="I30" s="82"/>
      <c r="J30" s="82"/>
      <c r="K30" s="82"/>
      <c r="L30" s="82"/>
      <c r="M30" s="171"/>
      <c r="N30" s="171"/>
      <c r="O30" s="171"/>
      <c r="P30" s="171"/>
      <c r="Q30" s="171"/>
      <c r="R30" s="172"/>
      <c r="S30" s="130"/>
      <c r="T30" s="130"/>
      <c r="U30" s="130"/>
      <c r="V30" s="155"/>
    </row>
    <row r="31" spans="2:33" ht="18" customHeight="1" x14ac:dyDescent="0.25">
      <c r="B31" s="138"/>
      <c r="C31" s="173"/>
      <c r="D31" s="326" t="s">
        <v>186</v>
      </c>
      <c r="E31" s="322"/>
      <c r="F31" s="299"/>
      <c r="G31" s="299"/>
      <c r="H31" s="320" t="s">
        <v>187</v>
      </c>
      <c r="I31" s="82"/>
      <c r="J31" s="82"/>
      <c r="K31" s="82"/>
      <c r="L31" s="320" t="s">
        <v>188</v>
      </c>
      <c r="M31" s="171"/>
      <c r="N31" s="171"/>
      <c r="O31" s="171"/>
      <c r="P31" s="171"/>
      <c r="Q31" s="171"/>
      <c r="R31" s="172"/>
      <c r="S31" s="130"/>
      <c r="T31" s="130"/>
      <c r="U31" s="130"/>
      <c r="V31" s="155"/>
    </row>
    <row r="32" spans="2:33" ht="18" customHeight="1" x14ac:dyDescent="0.25">
      <c r="B32" s="90"/>
      <c r="C32" s="173"/>
      <c r="D32" s="303" t="s">
        <v>308</v>
      </c>
      <c r="E32" s="322"/>
      <c r="F32" s="327">
        <f>F24+F25</f>
        <v>564.93904171115946</v>
      </c>
      <c r="G32" s="171" t="s">
        <v>445</v>
      </c>
      <c r="H32" s="303" t="s">
        <v>309</v>
      </c>
      <c r="I32" s="82"/>
      <c r="J32" s="327">
        <f>F24</f>
        <v>479.93904171115946</v>
      </c>
      <c r="K32" s="171" t="s">
        <v>445</v>
      </c>
      <c r="L32" s="303" t="s">
        <v>308</v>
      </c>
      <c r="M32" s="82"/>
      <c r="N32" s="82"/>
      <c r="O32" s="82"/>
      <c r="P32" s="82">
        <v>0</v>
      </c>
      <c r="Q32" s="171" t="s">
        <v>445</v>
      </c>
      <c r="R32" s="172"/>
      <c r="S32" s="130"/>
      <c r="T32" s="130"/>
      <c r="U32" s="130"/>
      <c r="V32" s="155"/>
    </row>
    <row r="33" spans="2:22" ht="18" customHeight="1" x14ac:dyDescent="0.25">
      <c r="B33" s="90"/>
      <c r="C33" s="173"/>
      <c r="D33" s="304"/>
      <c r="E33" s="328"/>
      <c r="F33" s="82"/>
      <c r="G33" s="82"/>
      <c r="H33" s="329"/>
      <c r="I33" s="82"/>
      <c r="J33" s="82"/>
      <c r="K33" s="82"/>
      <c r="L33" s="329"/>
      <c r="M33" s="82"/>
      <c r="N33" s="82"/>
      <c r="O33" s="82"/>
      <c r="P33" s="329"/>
      <c r="Q33" s="82"/>
      <c r="R33" s="172"/>
      <c r="S33" s="130"/>
      <c r="T33" s="130"/>
      <c r="U33" s="130"/>
      <c r="V33" s="155"/>
    </row>
    <row r="34" spans="2:22" ht="18" customHeight="1" x14ac:dyDescent="0.25">
      <c r="B34" s="90"/>
      <c r="C34" s="173"/>
      <c r="D34" s="330" t="s">
        <v>317</v>
      </c>
      <c r="E34" s="331"/>
      <c r="F34" s="331"/>
      <c r="G34" s="331"/>
      <c r="H34" s="331"/>
      <c r="I34" s="331"/>
      <c r="J34" s="331"/>
      <c r="K34" s="331"/>
      <c r="L34" s="331"/>
      <c r="M34" s="331"/>
      <c r="N34" s="331"/>
      <c r="O34" s="331"/>
      <c r="P34" s="332"/>
      <c r="Q34" s="331"/>
      <c r="R34" s="172"/>
      <c r="S34" s="130"/>
      <c r="T34" s="130"/>
      <c r="U34" s="130"/>
      <c r="V34" s="155"/>
    </row>
    <row r="35" spans="2:22" ht="18" customHeight="1" x14ac:dyDescent="0.25">
      <c r="B35" s="90"/>
      <c r="C35" s="173"/>
      <c r="D35" s="304" t="s">
        <v>310</v>
      </c>
      <c r="E35" s="333"/>
      <c r="F35" s="327">
        <f>F32/E11</f>
        <v>594.672675485431</v>
      </c>
      <c r="G35" s="327" t="s">
        <v>460</v>
      </c>
      <c r="H35" s="329" t="s">
        <v>310</v>
      </c>
      <c r="I35" s="82"/>
      <c r="J35" s="327">
        <f>J32/E11</f>
        <v>505.1989912749047</v>
      </c>
      <c r="K35" s="327" t="s">
        <v>460</v>
      </c>
      <c r="L35" s="329" t="s">
        <v>310</v>
      </c>
      <c r="M35" s="82"/>
      <c r="N35" s="82"/>
      <c r="O35" s="82"/>
      <c r="P35" s="334">
        <v>0</v>
      </c>
      <c r="Q35" s="327" t="s">
        <v>460</v>
      </c>
      <c r="R35" s="172"/>
      <c r="S35" s="130"/>
      <c r="T35" s="130"/>
      <c r="U35" s="130"/>
      <c r="V35" s="155"/>
    </row>
    <row r="36" spans="2:22" ht="18" customHeight="1" x14ac:dyDescent="0.25">
      <c r="B36" s="90"/>
      <c r="C36" s="173"/>
      <c r="D36" s="335" t="s">
        <v>311</v>
      </c>
      <c r="E36" s="82"/>
      <c r="F36" s="327">
        <f>F32/G11</f>
        <v>807.05577387308495</v>
      </c>
      <c r="G36" s="171" t="s">
        <v>445</v>
      </c>
      <c r="H36" s="335" t="s">
        <v>311</v>
      </c>
      <c r="I36" s="82"/>
      <c r="J36" s="327">
        <f>J32/G11</f>
        <v>685.62720244451361</v>
      </c>
      <c r="K36" s="171" t="s">
        <v>445</v>
      </c>
      <c r="L36" s="335" t="s">
        <v>311</v>
      </c>
      <c r="M36" s="82"/>
      <c r="N36" s="82"/>
      <c r="O36" s="82"/>
      <c r="P36" s="334">
        <v>0</v>
      </c>
      <c r="Q36" s="171" t="s">
        <v>445</v>
      </c>
      <c r="R36" s="172"/>
      <c r="S36" s="130"/>
      <c r="T36" s="130"/>
      <c r="U36" s="130"/>
      <c r="V36" s="155"/>
    </row>
    <row r="37" spans="2:22" ht="18" customHeight="1" x14ac:dyDescent="0.25">
      <c r="B37" s="90"/>
      <c r="C37" s="173"/>
      <c r="D37" s="335" t="s">
        <v>312</v>
      </c>
      <c r="E37" s="333"/>
      <c r="F37" s="327">
        <f>F32/H11</f>
        <v>706.17380213894944</v>
      </c>
      <c r="G37" s="171" t="s">
        <v>445</v>
      </c>
      <c r="H37" s="335" t="s">
        <v>312</v>
      </c>
      <c r="I37" s="82"/>
      <c r="J37" s="327">
        <f>J32/H11</f>
        <v>599.92380213894933</v>
      </c>
      <c r="K37" s="171" t="s">
        <v>445</v>
      </c>
      <c r="L37" s="335" t="s">
        <v>312</v>
      </c>
      <c r="M37" s="82"/>
      <c r="N37" s="82"/>
      <c r="O37" s="82"/>
      <c r="P37" s="334">
        <v>0</v>
      </c>
      <c r="Q37" s="171" t="s">
        <v>445</v>
      </c>
      <c r="R37" s="172"/>
      <c r="S37" s="130"/>
      <c r="T37" s="130"/>
      <c r="U37" s="130"/>
      <c r="V37" s="155"/>
    </row>
    <row r="38" spans="2:22" ht="18" customHeight="1" x14ac:dyDescent="0.25">
      <c r="B38" s="90"/>
      <c r="C38" s="173"/>
      <c r="D38" s="304" t="s">
        <v>313</v>
      </c>
      <c r="E38" s="333"/>
      <c r="F38" s="327">
        <f>F32/I11</f>
        <v>664.63416671901109</v>
      </c>
      <c r="G38" s="171" t="s">
        <v>445</v>
      </c>
      <c r="H38" s="329" t="s">
        <v>313</v>
      </c>
      <c r="I38" s="82"/>
      <c r="J38" s="327">
        <f>J32/I11</f>
        <v>564.63416671901109</v>
      </c>
      <c r="K38" s="171" t="s">
        <v>445</v>
      </c>
      <c r="L38" s="329" t="s">
        <v>313</v>
      </c>
      <c r="M38" s="327"/>
      <c r="N38" s="82"/>
      <c r="O38" s="82"/>
      <c r="P38" s="334">
        <v>0</v>
      </c>
      <c r="Q38" s="171" t="s">
        <v>445</v>
      </c>
      <c r="R38" s="172"/>
      <c r="S38" s="130"/>
      <c r="T38" s="130"/>
      <c r="U38" s="130"/>
      <c r="V38" s="155"/>
    </row>
    <row r="39" spans="2:22" ht="18" customHeight="1" x14ac:dyDescent="0.25">
      <c r="B39" s="90"/>
      <c r="C39" s="173"/>
      <c r="D39" s="304"/>
      <c r="E39" s="333"/>
      <c r="F39" s="327"/>
      <c r="G39" s="327"/>
      <c r="H39" s="329"/>
      <c r="I39" s="82"/>
      <c r="J39" s="327"/>
      <c r="K39" s="327"/>
      <c r="L39" s="329"/>
      <c r="M39" s="327"/>
      <c r="N39" s="82"/>
      <c r="O39" s="82"/>
      <c r="P39" s="334"/>
      <c r="Q39" s="327"/>
      <c r="R39" s="172"/>
      <c r="S39" s="130"/>
      <c r="T39" s="130"/>
      <c r="U39" s="130"/>
      <c r="V39" s="155"/>
    </row>
    <row r="40" spans="2:22" ht="18" customHeight="1" x14ac:dyDescent="0.25">
      <c r="B40" s="90"/>
      <c r="C40" s="173"/>
      <c r="D40" s="330" t="s">
        <v>315</v>
      </c>
      <c r="E40" s="331"/>
      <c r="F40" s="331"/>
      <c r="G40" s="331"/>
      <c r="H40" s="331"/>
      <c r="I40" s="331"/>
      <c r="J40" s="331"/>
      <c r="K40" s="331"/>
      <c r="L40" s="331"/>
      <c r="M40" s="331"/>
      <c r="N40" s="331"/>
      <c r="O40" s="331"/>
      <c r="P40" s="332"/>
      <c r="Q40" s="331"/>
      <c r="R40" s="172"/>
      <c r="S40" s="130"/>
      <c r="T40" s="130"/>
      <c r="U40" s="130"/>
      <c r="V40" s="155"/>
    </row>
    <row r="41" spans="2:22" ht="18" customHeight="1" x14ac:dyDescent="0.25">
      <c r="B41" s="90"/>
      <c r="C41" s="173"/>
      <c r="D41" s="304" t="s">
        <v>310</v>
      </c>
      <c r="E41" s="333"/>
      <c r="F41" s="327">
        <f>F32/(E11+E12)</f>
        <v>564.93904171115946</v>
      </c>
      <c r="G41" s="327" t="s">
        <v>460</v>
      </c>
      <c r="H41" s="329" t="s">
        <v>310</v>
      </c>
      <c r="I41" s="82"/>
      <c r="J41" s="327">
        <f>J32/(E11+E12)</f>
        <v>479.93904171115946</v>
      </c>
      <c r="K41" s="327" t="s">
        <v>460</v>
      </c>
      <c r="L41" s="329" t="s">
        <v>310</v>
      </c>
      <c r="M41" s="82"/>
      <c r="N41" s="82"/>
      <c r="O41" s="82"/>
      <c r="P41" s="334">
        <v>0</v>
      </c>
      <c r="Q41" s="327" t="s">
        <v>460</v>
      </c>
      <c r="R41" s="172"/>
      <c r="S41" s="130"/>
      <c r="T41" s="130"/>
      <c r="U41" s="130"/>
      <c r="V41" s="155"/>
    </row>
    <row r="42" spans="2:22" ht="18" customHeight="1" x14ac:dyDescent="0.25">
      <c r="B42" s="90"/>
      <c r="C42" s="173"/>
      <c r="D42" s="335" t="s">
        <v>311</v>
      </c>
      <c r="E42" s="82"/>
      <c r="F42" s="327">
        <f>F32/(G11+G12)</f>
        <v>664.6341667190112</v>
      </c>
      <c r="G42" s="171" t="s">
        <v>445</v>
      </c>
      <c r="H42" s="335" t="s">
        <v>311</v>
      </c>
      <c r="I42" s="82"/>
      <c r="J42" s="327">
        <f>J32/(G11+G12)</f>
        <v>564.63416671901109</v>
      </c>
      <c r="K42" s="171" t="s">
        <v>445</v>
      </c>
      <c r="L42" s="335" t="s">
        <v>311</v>
      </c>
      <c r="M42" s="82"/>
      <c r="N42" s="82"/>
      <c r="O42" s="82"/>
      <c r="P42" s="334">
        <v>0</v>
      </c>
      <c r="Q42" s="171" t="s">
        <v>445</v>
      </c>
      <c r="R42" s="172"/>
      <c r="S42" s="130"/>
      <c r="T42" s="130"/>
      <c r="U42" s="130"/>
      <c r="V42" s="155"/>
    </row>
    <row r="43" spans="2:22" ht="18" customHeight="1" x14ac:dyDescent="0.25">
      <c r="B43" s="90"/>
      <c r="C43" s="173"/>
      <c r="D43" s="335" t="s">
        <v>312</v>
      </c>
      <c r="E43" s="333"/>
      <c r="F43" s="327">
        <f>F32/(H11+H12)</f>
        <v>627.71004634573285</v>
      </c>
      <c r="G43" s="171" t="s">
        <v>445</v>
      </c>
      <c r="H43" s="335" t="s">
        <v>312</v>
      </c>
      <c r="I43" s="82"/>
      <c r="J43" s="327">
        <f>J32/(H11+H12)</f>
        <v>533.26560190128839</v>
      </c>
      <c r="K43" s="171" t="s">
        <v>445</v>
      </c>
      <c r="L43" s="335" t="s">
        <v>312</v>
      </c>
      <c r="M43" s="82"/>
      <c r="N43" s="82"/>
      <c r="O43" s="82"/>
      <c r="P43" s="334">
        <v>0</v>
      </c>
      <c r="Q43" s="171" t="s">
        <v>445</v>
      </c>
      <c r="R43" s="172"/>
      <c r="S43" s="130"/>
      <c r="T43" s="130"/>
      <c r="U43" s="130"/>
      <c r="V43" s="155"/>
    </row>
    <row r="44" spans="2:22" ht="18" customHeight="1" x14ac:dyDescent="0.25">
      <c r="B44" s="90"/>
      <c r="C44" s="173"/>
      <c r="D44" s="304" t="s">
        <v>313</v>
      </c>
      <c r="E44" s="333"/>
      <c r="F44" s="327">
        <f>F32/(I11+I12)</f>
        <v>594.672675485431</v>
      </c>
      <c r="G44" s="171" t="s">
        <v>445</v>
      </c>
      <c r="H44" s="329" t="s">
        <v>313</v>
      </c>
      <c r="I44" s="82"/>
      <c r="J44" s="327">
        <f>J32/(I11+I12)</f>
        <v>505.19899127490464</v>
      </c>
      <c r="K44" s="171" t="s">
        <v>445</v>
      </c>
      <c r="L44" s="329" t="s">
        <v>313</v>
      </c>
      <c r="M44" s="327"/>
      <c r="N44" s="82"/>
      <c r="O44" s="82"/>
      <c r="P44" s="334">
        <v>0</v>
      </c>
      <c r="Q44" s="171" t="s">
        <v>445</v>
      </c>
      <c r="R44" s="172"/>
      <c r="S44" s="130"/>
      <c r="T44" s="130"/>
      <c r="U44" s="130"/>
      <c r="V44" s="155"/>
    </row>
    <row r="45" spans="2:22" ht="18" customHeight="1" x14ac:dyDescent="0.25">
      <c r="B45" s="90"/>
      <c r="C45" s="178"/>
      <c r="D45" s="179"/>
      <c r="E45" s="179"/>
      <c r="F45" s="179"/>
      <c r="G45" s="179"/>
      <c r="H45" s="179"/>
      <c r="I45" s="179"/>
      <c r="J45" s="179"/>
      <c r="K45" s="179"/>
      <c r="L45" s="179"/>
      <c r="M45" s="179"/>
      <c r="N45" s="179"/>
      <c r="O45" s="179"/>
      <c r="P45" s="179"/>
      <c r="Q45" s="179"/>
      <c r="R45" s="180"/>
      <c r="S45" s="130"/>
      <c r="T45" s="130"/>
      <c r="U45" s="130"/>
      <c r="V45" s="155"/>
    </row>
    <row r="46" spans="2:22" ht="18" customHeight="1" thickBot="1" x14ac:dyDescent="0.3">
      <c r="B46" s="92"/>
      <c r="C46" s="93"/>
      <c r="D46" s="232"/>
      <c r="E46" s="93"/>
      <c r="F46" s="93"/>
      <c r="G46" s="93"/>
      <c r="H46" s="93"/>
      <c r="I46" s="93"/>
      <c r="J46" s="93"/>
      <c r="K46" s="93"/>
      <c r="L46" s="93"/>
      <c r="M46" s="93"/>
      <c r="N46" s="93"/>
      <c r="O46" s="93"/>
      <c r="P46" s="93"/>
      <c r="Q46" s="166"/>
      <c r="R46" s="166"/>
      <c r="S46" s="166"/>
      <c r="T46" s="166"/>
      <c r="U46" s="166"/>
      <c r="V46" s="167"/>
    </row>
  </sheetData>
  <mergeCells count="2">
    <mergeCell ref="D4:D5"/>
    <mergeCell ref="C6:C11"/>
  </mergeCell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DACF6-995F-4323-BE8F-4D507694C2F3}">
  <sheetPr codeName="Sheet6">
    <tabColor theme="4"/>
  </sheetPr>
  <dimension ref="B1:P47"/>
  <sheetViews>
    <sheetView zoomScale="90" zoomScaleNormal="90" workbookViewId="0">
      <selection activeCell="F25" sqref="F25"/>
    </sheetView>
  </sheetViews>
  <sheetFormatPr baseColWidth="10" defaultColWidth="9.140625" defaultRowHeight="18" customHeight="1" x14ac:dyDescent="0.25"/>
  <cols>
    <col min="1" max="1" width="3.7109375" style="1" customWidth="1"/>
    <col min="2" max="2" width="2.28515625" style="1" customWidth="1"/>
    <col min="3" max="3" width="51.5703125" style="1" customWidth="1"/>
    <col min="4" max="4" width="32" style="1" customWidth="1"/>
    <col min="5" max="5" width="39.42578125" style="1" customWidth="1"/>
    <col min="6" max="6" width="31.5703125" style="1" customWidth="1"/>
    <col min="7" max="7" width="2.7109375" style="1" customWidth="1"/>
    <col min="8" max="9" width="9.7109375" style="1" customWidth="1"/>
    <col min="10" max="12" width="9.140625" style="1"/>
    <col min="13" max="13" width="12" style="1" bestFit="1" customWidth="1"/>
    <col min="14" max="14" width="9.140625" style="1"/>
    <col min="15" max="15" width="3.5703125" style="1" customWidth="1"/>
    <col min="16" max="16384" width="9.140625" style="1"/>
  </cols>
  <sheetData>
    <row r="1" spans="2:15" ht="18" customHeight="1" thickBot="1" x14ac:dyDescent="0.3"/>
    <row r="2" spans="2:15" ht="24" customHeight="1" thickBot="1" x14ac:dyDescent="0.4">
      <c r="B2" s="84" t="s">
        <v>242</v>
      </c>
      <c r="C2" s="85"/>
      <c r="D2" s="85"/>
      <c r="E2" s="85"/>
      <c r="F2" s="85"/>
      <c r="G2" s="85"/>
      <c r="H2" s="206"/>
      <c r="I2" s="206"/>
      <c r="J2" s="206"/>
      <c r="K2" s="206"/>
      <c r="L2" s="206"/>
      <c r="M2" s="206"/>
      <c r="N2" s="206"/>
      <c r="O2" s="207"/>
    </row>
    <row r="3" spans="2:15" ht="24" customHeight="1" x14ac:dyDescent="0.35">
      <c r="B3" s="136"/>
      <c r="C3" s="137"/>
      <c r="D3" s="137"/>
      <c r="E3" s="137"/>
      <c r="F3" s="137"/>
      <c r="G3" s="137"/>
      <c r="H3" s="130"/>
      <c r="I3" s="130"/>
      <c r="J3" s="130"/>
      <c r="K3" s="130"/>
      <c r="L3" s="130"/>
      <c r="M3" s="130"/>
      <c r="N3" s="130"/>
      <c r="O3" s="155"/>
    </row>
    <row r="4" spans="2:15" ht="18" customHeight="1" thickBot="1" x14ac:dyDescent="0.3">
      <c r="B4" s="138"/>
      <c r="C4" s="139"/>
      <c r="D4" s="140" t="s">
        <v>186</v>
      </c>
      <c r="E4" s="140" t="s">
        <v>187</v>
      </c>
      <c r="F4" s="141" t="s">
        <v>188</v>
      </c>
      <c r="G4" s="47"/>
      <c r="H4" s="139" t="s">
        <v>218</v>
      </c>
      <c r="I4" s="140"/>
      <c r="J4" s="140"/>
      <c r="K4" s="140"/>
      <c r="L4" s="140"/>
      <c r="M4" s="140"/>
      <c r="N4" s="141"/>
      <c r="O4" s="155"/>
    </row>
    <row r="5" spans="2:15" ht="18" customHeight="1" thickBot="1" x14ac:dyDescent="0.3">
      <c r="B5" s="138"/>
      <c r="C5" s="142"/>
      <c r="D5" s="176"/>
      <c r="E5" s="176"/>
      <c r="F5" s="197"/>
      <c r="G5" s="47"/>
      <c r="H5" s="178" t="s">
        <v>99</v>
      </c>
      <c r="I5" s="179"/>
      <c r="J5" s="179"/>
      <c r="K5" s="179"/>
      <c r="L5" s="179"/>
      <c r="M5" s="177">
        <f>'Input og output'!H17</f>
        <v>500</v>
      </c>
      <c r="N5" s="180" t="s">
        <v>11</v>
      </c>
      <c r="O5" s="155"/>
    </row>
    <row r="6" spans="2:15" ht="18" customHeight="1" x14ac:dyDescent="0.25">
      <c r="B6" s="138"/>
      <c r="C6" s="142"/>
      <c r="D6" s="176"/>
      <c r="E6" s="176"/>
      <c r="F6" s="197"/>
      <c r="G6" s="47"/>
      <c r="H6" s="130"/>
      <c r="I6" s="130"/>
      <c r="J6" s="130"/>
      <c r="K6" s="130"/>
      <c r="L6" s="130"/>
      <c r="M6" s="130"/>
      <c r="N6" s="130"/>
      <c r="O6" s="155"/>
    </row>
    <row r="7" spans="2:15" ht="18" customHeight="1" thickBot="1" x14ac:dyDescent="0.3">
      <c r="B7" s="138"/>
      <c r="C7" s="142"/>
      <c r="D7" s="176"/>
      <c r="E7" s="176" t="s">
        <v>263</v>
      </c>
      <c r="F7" s="197"/>
      <c r="G7" s="47"/>
      <c r="H7" s="139" t="s">
        <v>250</v>
      </c>
      <c r="I7" s="174"/>
      <c r="J7" s="174"/>
      <c r="K7" s="174"/>
      <c r="L7" s="174"/>
      <c r="M7" s="174"/>
      <c r="N7" s="175"/>
      <c r="O7" s="155"/>
    </row>
    <row r="8" spans="2:15" ht="18" customHeight="1" thickBot="1" x14ac:dyDescent="0.3">
      <c r="B8" s="138"/>
      <c r="C8" s="142" t="s">
        <v>189</v>
      </c>
      <c r="D8" s="198" t="s">
        <v>190</v>
      </c>
      <c r="E8" s="198" t="s">
        <v>264</v>
      </c>
      <c r="F8" s="199" t="s">
        <v>191</v>
      </c>
      <c r="G8" s="47"/>
      <c r="H8" s="173" t="s">
        <v>316</v>
      </c>
      <c r="I8" s="171"/>
      <c r="J8" s="171"/>
      <c r="K8" s="171"/>
      <c r="L8" s="171"/>
      <c r="M8" s="203">
        <f>IF('Input og output'!H13&lt;Grøft!H56,Grøft!F82,Grøft!F89)</f>
        <v>98.174770424681029</v>
      </c>
      <c r="N8" s="172" t="s">
        <v>445</v>
      </c>
      <c r="O8" s="155"/>
    </row>
    <row r="9" spans="2:15" ht="18" customHeight="1" thickBot="1" x14ac:dyDescent="0.3">
      <c r="B9" s="138"/>
      <c r="C9" s="143" t="s">
        <v>240</v>
      </c>
      <c r="D9" s="144" t="s">
        <v>192</v>
      </c>
      <c r="E9" s="144" t="s">
        <v>238</v>
      </c>
      <c r="F9" s="145" t="s">
        <v>193</v>
      </c>
      <c r="G9" s="47"/>
      <c r="H9" s="173" t="s">
        <v>253</v>
      </c>
      <c r="I9" s="171"/>
      <c r="J9" s="171"/>
      <c r="K9" s="171"/>
      <c r="L9" s="171"/>
      <c r="M9" s="203">
        <f>IF('Input og output'!H13&lt;Grøft!H56,Grøft!F85,Grøft!F92)</f>
        <v>0</v>
      </c>
      <c r="N9" s="172" t="s">
        <v>445</v>
      </c>
      <c r="O9" s="155"/>
    </row>
    <row r="10" spans="2:15" ht="18" customHeight="1" thickBot="1" x14ac:dyDescent="0.3">
      <c r="B10" s="138"/>
      <c r="C10" s="143" t="s">
        <v>194</v>
      </c>
      <c r="D10" s="144" t="s">
        <v>195</v>
      </c>
      <c r="E10" s="146" t="s">
        <v>195</v>
      </c>
      <c r="F10" s="147" t="s">
        <v>196</v>
      </c>
      <c r="G10" s="47"/>
      <c r="H10" s="173" t="s">
        <v>302</v>
      </c>
      <c r="I10" s="171"/>
      <c r="J10" s="171"/>
      <c r="K10" s="171"/>
      <c r="L10" s="171"/>
      <c r="M10" s="203">
        <f>IF('Input og output'!H23="Masse 1: Elveavsetninger",'Stedlige masser'!F35,IF('Input og output'!H23="Masse 2: Marine strandavsetninger",'Stedlige masser'!F36,(IF('Input og output'!H23="Masse 3: Sandig morene",'Stedlige masser'!F37,IF('Input og output'!H23="Masse 4: Grusig morene",'Stedlige masser'!F38,0)))))</f>
        <v>594.672675485431</v>
      </c>
      <c r="N10" s="172" t="s">
        <v>445</v>
      </c>
      <c r="O10" s="155"/>
    </row>
    <row r="11" spans="2:15" ht="18" customHeight="1" thickBot="1" x14ac:dyDescent="0.3">
      <c r="B11" s="138"/>
      <c r="C11" s="143" t="s">
        <v>197</v>
      </c>
      <c r="D11" s="144" t="s">
        <v>196</v>
      </c>
      <c r="E11" s="146" t="s">
        <v>196</v>
      </c>
      <c r="F11" s="147" t="s">
        <v>192</v>
      </c>
      <c r="G11" s="47"/>
      <c r="H11" s="178" t="s">
        <v>319</v>
      </c>
      <c r="I11" s="179"/>
      <c r="J11" s="179"/>
      <c r="K11" s="179"/>
      <c r="L11" s="179"/>
      <c r="M11" s="177">
        <v>0</v>
      </c>
      <c r="N11" s="347" t="s">
        <v>445</v>
      </c>
      <c r="O11" s="155"/>
    </row>
    <row r="12" spans="2:15" ht="18" customHeight="1" x14ac:dyDescent="0.25">
      <c r="B12" s="138"/>
      <c r="C12" s="143" t="s">
        <v>198</v>
      </c>
      <c r="D12" s="144" t="s">
        <v>196</v>
      </c>
      <c r="E12" s="144" t="s">
        <v>196</v>
      </c>
      <c r="F12" s="145" t="s">
        <v>192</v>
      </c>
      <c r="G12" s="47"/>
      <c r="H12" s="290"/>
      <c r="I12" s="290"/>
      <c r="J12" s="290"/>
      <c r="K12" s="290"/>
      <c r="L12" s="290"/>
      <c r="M12" s="290"/>
      <c r="N12" s="290"/>
      <c r="O12" s="155"/>
    </row>
    <row r="13" spans="2:15" ht="18" customHeight="1" thickBot="1" x14ac:dyDescent="0.3">
      <c r="B13" s="138"/>
      <c r="C13" s="143" t="s">
        <v>199</v>
      </c>
      <c r="D13" s="144" t="s">
        <v>195</v>
      </c>
      <c r="E13" s="144" t="s">
        <v>195</v>
      </c>
      <c r="F13" s="145" t="s">
        <v>192</v>
      </c>
      <c r="G13" s="47"/>
      <c r="H13" s="139" t="s">
        <v>251</v>
      </c>
      <c r="I13" s="174"/>
      <c r="J13" s="174"/>
      <c r="K13" s="174"/>
      <c r="L13" s="174"/>
      <c r="M13" s="174"/>
      <c r="N13" s="293"/>
      <c r="O13" s="155"/>
    </row>
    <row r="14" spans="2:15" ht="18" customHeight="1" thickBot="1" x14ac:dyDescent="0.3">
      <c r="B14" s="138"/>
      <c r="C14" s="143" t="s">
        <v>200</v>
      </c>
      <c r="D14" s="144" t="s">
        <v>195</v>
      </c>
      <c r="E14" s="144" t="s">
        <v>195</v>
      </c>
      <c r="F14" s="145" t="s">
        <v>192</v>
      </c>
      <c r="G14" s="47"/>
      <c r="H14" s="173" t="s">
        <v>316</v>
      </c>
      <c r="I14" s="171"/>
      <c r="J14" s="171"/>
      <c r="K14" s="171"/>
      <c r="L14" s="171"/>
      <c r="M14" s="203">
        <f>IF('Input og output'!H13&lt;Grøft!H56,Grøft!H82,Grøft!H89)</f>
        <v>183.17477042468101</v>
      </c>
      <c r="N14" s="172" t="s">
        <v>445</v>
      </c>
      <c r="O14" s="155"/>
    </row>
    <row r="15" spans="2:15" ht="18" customHeight="1" thickBot="1" x14ac:dyDescent="0.3">
      <c r="B15" s="138"/>
      <c r="C15" s="143" t="s">
        <v>201</v>
      </c>
      <c r="D15" s="144" t="s">
        <v>202</v>
      </c>
      <c r="E15" s="144" t="s">
        <v>202</v>
      </c>
      <c r="F15" s="145" t="s">
        <v>203</v>
      </c>
      <c r="G15" s="47"/>
      <c r="H15" s="173" t="s">
        <v>253</v>
      </c>
      <c r="I15" s="171"/>
      <c r="J15" s="171"/>
      <c r="K15" s="171"/>
      <c r="L15" s="171"/>
      <c r="M15" s="203">
        <f>IF('Input og output'!H13&lt;Grøft!H56,Grøft!H85,Grøft!H92)</f>
        <v>85</v>
      </c>
      <c r="N15" s="172" t="s">
        <v>445</v>
      </c>
      <c r="O15" s="155"/>
    </row>
    <row r="16" spans="2:15" ht="18" customHeight="1" thickBot="1" x14ac:dyDescent="0.3">
      <c r="B16" s="90"/>
      <c r="C16" s="143" t="s">
        <v>201</v>
      </c>
      <c r="D16" s="144" t="s">
        <v>202</v>
      </c>
      <c r="E16" s="144" t="s">
        <v>202</v>
      </c>
      <c r="F16" s="145" t="s">
        <v>203</v>
      </c>
      <c r="G16" s="47"/>
      <c r="H16" s="173" t="s">
        <v>302</v>
      </c>
      <c r="I16" s="171"/>
      <c r="J16" s="171"/>
      <c r="K16" s="171"/>
      <c r="L16" s="171"/>
      <c r="M16" s="203">
        <f>IF('Input og output'!H23="Masse 1: Elveavsetninger",'Stedlige masser'!J35,IF('Input og output'!H23="Masse 2: Marine strandavsetninger",'Stedlige masser'!J36,(IF('Input og output'!H23="Masse 3: Sandig morene",'Stedlige masser'!J37,IF('Input og output'!H23="Masse 4: Grusig morene",'Stedlige masser'!J38,0)))))</f>
        <v>505.1989912749047</v>
      </c>
      <c r="N16" s="172" t="s">
        <v>445</v>
      </c>
      <c r="O16" s="155"/>
    </row>
    <row r="17" spans="2:16" ht="18" customHeight="1" thickBot="1" x14ac:dyDescent="0.3">
      <c r="B17" s="90"/>
      <c r="C17" s="148"/>
      <c r="D17" s="150"/>
      <c r="E17" s="150"/>
      <c r="F17" s="151"/>
      <c r="G17" s="47"/>
      <c r="H17" s="178" t="s">
        <v>319</v>
      </c>
      <c r="I17" s="179"/>
      <c r="J17" s="179"/>
      <c r="K17" s="179"/>
      <c r="L17" s="179"/>
      <c r="M17" s="177">
        <v>0</v>
      </c>
      <c r="N17" s="172" t="s">
        <v>445</v>
      </c>
      <c r="O17" s="155"/>
    </row>
    <row r="18" spans="2:16" ht="18" customHeight="1" x14ac:dyDescent="0.25">
      <c r="B18" s="138"/>
      <c r="C18" s="130"/>
      <c r="D18" s="130"/>
      <c r="E18" s="130"/>
      <c r="F18" s="130"/>
      <c r="G18" s="47"/>
      <c r="H18" s="169"/>
      <c r="I18" s="169"/>
      <c r="J18" s="169"/>
      <c r="K18" s="169"/>
      <c r="L18" s="169"/>
      <c r="M18" s="290"/>
      <c r="N18" s="169"/>
      <c r="O18" s="155"/>
    </row>
    <row r="19" spans="2:16" ht="18" customHeight="1" thickBot="1" x14ac:dyDescent="0.3">
      <c r="B19" s="138"/>
      <c r="C19" s="139" t="s">
        <v>189</v>
      </c>
      <c r="D19" s="200" t="s">
        <v>205</v>
      </c>
      <c r="E19" s="200" t="s">
        <v>204</v>
      </c>
      <c r="F19" s="141" t="s">
        <v>239</v>
      </c>
      <c r="G19" s="47"/>
      <c r="H19" s="139" t="s">
        <v>252</v>
      </c>
      <c r="I19" s="174"/>
      <c r="J19" s="174"/>
      <c r="K19" s="174"/>
      <c r="L19" s="174"/>
      <c r="M19" s="174"/>
      <c r="N19" s="293"/>
      <c r="O19" s="155"/>
    </row>
    <row r="20" spans="2:16" ht="18" customHeight="1" thickBot="1" x14ac:dyDescent="0.3">
      <c r="B20" s="138"/>
      <c r="C20" s="143" t="s">
        <v>240</v>
      </c>
      <c r="D20" s="375">
        <v>275</v>
      </c>
      <c r="E20" s="171" t="s">
        <v>445</v>
      </c>
      <c r="F20" s="149" t="s">
        <v>254</v>
      </c>
      <c r="G20" s="47"/>
      <c r="H20" s="297" t="s">
        <v>316</v>
      </c>
      <c r="I20" s="298"/>
      <c r="J20" s="298"/>
      <c r="K20" s="298"/>
      <c r="L20" s="298"/>
      <c r="M20" s="317">
        <f>IF('Input og output'!H13&lt;Grøft!H56,Grøft!J82,Grøft!J89)</f>
        <v>663.11381213584059</v>
      </c>
      <c r="N20" s="172" t="s">
        <v>445</v>
      </c>
      <c r="O20" s="155"/>
    </row>
    <row r="21" spans="2:16" ht="18" customHeight="1" thickBot="1" x14ac:dyDescent="0.3">
      <c r="B21" s="138"/>
      <c r="C21" s="143" t="s">
        <v>241</v>
      </c>
      <c r="D21" s="373">
        <v>200</v>
      </c>
      <c r="E21" s="171" t="s">
        <v>445</v>
      </c>
      <c r="F21" s="149" t="s">
        <v>254</v>
      </c>
      <c r="G21" s="47"/>
      <c r="H21" s="173" t="s">
        <v>253</v>
      </c>
      <c r="I21" s="171"/>
      <c r="J21" s="171"/>
      <c r="K21" s="171"/>
      <c r="L21" s="171"/>
      <c r="M21" s="203">
        <f>IF('Input og output'!H13&lt;Grøft!H56,Grøft!J85,Grøft!J92)</f>
        <v>564.93904171115946</v>
      </c>
      <c r="N21" s="172" t="s">
        <v>445</v>
      </c>
      <c r="O21" s="155"/>
      <c r="P21" s="50"/>
    </row>
    <row r="22" spans="2:16" ht="18" customHeight="1" thickBot="1" x14ac:dyDescent="0.3">
      <c r="B22" s="138"/>
      <c r="C22" s="143" t="s">
        <v>198</v>
      </c>
      <c r="D22" s="375">
        <v>50</v>
      </c>
      <c r="E22" s="171" t="s">
        <v>445</v>
      </c>
      <c r="F22" s="149"/>
      <c r="G22" s="47"/>
      <c r="H22" s="173" t="s">
        <v>302</v>
      </c>
      <c r="I22" s="171"/>
      <c r="J22" s="171"/>
      <c r="K22" s="171"/>
      <c r="L22" s="171"/>
      <c r="M22" s="203">
        <f>IF('Input og output'!H23="Masse 1: Elveavsetninger",'Stedlige masser'!P35,IF('Input og output'!H23="Masse 2: Marine strandavsetninger",'Stedlige masser'!P36,(IF('Input og output'!H23="Masse 3: Sandig morene",'Stedlige masser'!P37,IF('Input og output'!H23="Masse 4: Grusig morene",'Stedlige masser'!P38,0)))))</f>
        <v>0</v>
      </c>
      <c r="N22" s="172" t="s">
        <v>445</v>
      </c>
      <c r="O22" s="155"/>
    </row>
    <row r="23" spans="2:16" ht="18" customHeight="1" thickBot="1" x14ac:dyDescent="0.3">
      <c r="B23" s="138"/>
      <c r="C23" s="143" t="s">
        <v>200</v>
      </c>
      <c r="D23" s="373">
        <v>200</v>
      </c>
      <c r="E23" s="171" t="s">
        <v>445</v>
      </c>
      <c r="F23" s="149"/>
      <c r="G23" s="47"/>
      <c r="H23" s="178" t="s">
        <v>319</v>
      </c>
      <c r="I23" s="179"/>
      <c r="J23" s="179"/>
      <c r="K23" s="179"/>
      <c r="L23" s="179"/>
      <c r="M23" s="177">
        <v>0</v>
      </c>
      <c r="N23" s="347" t="s">
        <v>445</v>
      </c>
      <c r="O23" s="155"/>
    </row>
    <row r="24" spans="2:16" ht="18" customHeight="1" thickBot="1" x14ac:dyDescent="0.3">
      <c r="B24" s="138"/>
      <c r="C24" s="143" t="s">
        <v>201</v>
      </c>
      <c r="D24" s="375">
        <v>25</v>
      </c>
      <c r="E24" s="316" t="s">
        <v>11</v>
      </c>
      <c r="F24" s="149" t="s">
        <v>99</v>
      </c>
      <c r="G24" s="47"/>
      <c r="H24" s="130"/>
      <c r="I24" s="130"/>
      <c r="J24" s="130"/>
      <c r="K24" s="130"/>
      <c r="L24" s="130"/>
      <c r="M24" s="130"/>
      <c r="N24" s="130"/>
      <c r="O24" s="155"/>
    </row>
    <row r="25" spans="2:16" ht="18" customHeight="1" thickBot="1" x14ac:dyDescent="0.3">
      <c r="B25" s="138"/>
      <c r="C25" s="143" t="s">
        <v>431</v>
      </c>
      <c r="D25" s="374">
        <v>0.2</v>
      </c>
      <c r="E25" s="316" t="s">
        <v>206</v>
      </c>
      <c r="F25" s="149"/>
      <c r="G25" s="47"/>
      <c r="H25" s="442" t="s">
        <v>396</v>
      </c>
      <c r="I25" s="443"/>
      <c r="J25" s="443"/>
      <c r="K25" s="443"/>
      <c r="L25" s="443"/>
      <c r="M25" s="443"/>
      <c r="N25" s="444"/>
      <c r="O25" s="155"/>
    </row>
    <row r="26" spans="2:16" ht="18" customHeight="1" thickBot="1" x14ac:dyDescent="0.3">
      <c r="B26" s="138"/>
      <c r="C26" s="173"/>
      <c r="D26" s="376"/>
      <c r="E26" s="171"/>
      <c r="F26" s="149"/>
      <c r="G26" s="47"/>
      <c r="H26" s="445" t="s">
        <v>397</v>
      </c>
      <c r="I26" s="171"/>
      <c r="J26" s="171"/>
      <c r="K26" s="171"/>
      <c r="L26" s="171"/>
      <c r="M26" s="446">
        <f>(D24*M5)+(D24*M5)*D25</f>
        <v>15000</v>
      </c>
      <c r="N26" s="172" t="s">
        <v>398</v>
      </c>
      <c r="O26" s="155"/>
    </row>
    <row r="27" spans="2:16" ht="18" customHeight="1" x14ac:dyDescent="0.25">
      <c r="B27" s="90"/>
      <c r="C27" s="178"/>
      <c r="D27" s="336"/>
      <c r="E27" s="179"/>
      <c r="F27" s="180"/>
      <c r="G27" s="47"/>
      <c r="H27" s="178"/>
      <c r="I27" s="179"/>
      <c r="J27" s="179"/>
      <c r="K27" s="179"/>
      <c r="L27" s="179"/>
      <c r="M27" s="179"/>
      <c r="N27" s="180"/>
      <c r="O27" s="155"/>
    </row>
    <row r="28" spans="2:16" ht="18" customHeight="1" x14ac:dyDescent="0.25">
      <c r="B28" s="90"/>
      <c r="C28" s="130"/>
      <c r="D28" s="338"/>
      <c r="E28" s="130"/>
      <c r="F28" s="130"/>
      <c r="G28" s="47"/>
      <c r="H28" s="130"/>
      <c r="I28" s="130"/>
      <c r="J28" s="130"/>
      <c r="K28" s="130"/>
      <c r="L28" s="130"/>
      <c r="M28" s="130"/>
      <c r="N28" s="130"/>
      <c r="O28" s="155"/>
    </row>
    <row r="29" spans="2:16" ht="18" customHeight="1" x14ac:dyDescent="0.25">
      <c r="B29" s="90"/>
      <c r="C29" s="139" t="s">
        <v>318</v>
      </c>
      <c r="D29" s="339"/>
      <c r="E29" s="292"/>
      <c r="F29" s="293"/>
      <c r="G29" s="47"/>
      <c r="H29" s="130"/>
      <c r="I29" s="130"/>
      <c r="J29" s="130"/>
      <c r="K29" s="130"/>
      <c r="L29" s="130"/>
      <c r="M29" s="130"/>
      <c r="N29" s="130"/>
      <c r="O29" s="155"/>
    </row>
    <row r="30" spans="2:16" ht="18" customHeight="1" x14ac:dyDescent="0.25">
      <c r="B30" s="90"/>
      <c r="C30" s="342"/>
      <c r="D30" s="337"/>
      <c r="E30" s="171"/>
      <c r="F30" s="172"/>
      <c r="G30" s="47"/>
      <c r="H30" s="130"/>
      <c r="I30" s="130"/>
      <c r="J30" s="130"/>
      <c r="K30" s="130"/>
      <c r="L30" s="130"/>
      <c r="M30" s="130"/>
      <c r="N30" s="130"/>
      <c r="O30" s="155"/>
    </row>
    <row r="31" spans="2:16" ht="18" customHeight="1" x14ac:dyDescent="0.25">
      <c r="B31" s="90"/>
      <c r="C31" s="342"/>
      <c r="D31" s="337"/>
      <c r="E31" s="171"/>
      <c r="F31" s="172"/>
      <c r="G31" s="47"/>
      <c r="H31" s="130"/>
      <c r="I31" s="130"/>
      <c r="J31" s="130"/>
      <c r="K31" s="130"/>
      <c r="L31" s="130"/>
      <c r="M31" s="130"/>
      <c r="N31" s="130"/>
      <c r="O31" s="155"/>
    </row>
    <row r="32" spans="2:16" ht="18" customHeight="1" x14ac:dyDescent="0.25">
      <c r="B32" s="90"/>
      <c r="C32" s="342"/>
      <c r="D32" s="337"/>
      <c r="E32" s="171"/>
      <c r="F32" s="172"/>
      <c r="G32" s="47"/>
      <c r="H32" s="130"/>
      <c r="I32" s="130"/>
      <c r="J32" s="130"/>
      <c r="K32" s="130"/>
      <c r="L32" s="130"/>
      <c r="M32" s="130"/>
      <c r="N32" s="130"/>
      <c r="O32" s="155"/>
    </row>
    <row r="33" spans="2:15" ht="18" customHeight="1" x14ac:dyDescent="0.25">
      <c r="B33" s="90"/>
      <c r="C33" s="343" t="s">
        <v>189</v>
      </c>
      <c r="D33" s="344" t="s">
        <v>186</v>
      </c>
      <c r="E33" s="345" t="s">
        <v>187</v>
      </c>
      <c r="F33" s="346" t="s">
        <v>188</v>
      </c>
      <c r="G33" s="47"/>
      <c r="H33" s="130"/>
      <c r="I33" s="130"/>
      <c r="J33" s="130"/>
      <c r="K33" s="130"/>
      <c r="L33" s="130"/>
      <c r="M33" s="130"/>
      <c r="N33" s="130"/>
      <c r="O33" s="155"/>
    </row>
    <row r="34" spans="2:15" ht="18" customHeight="1" x14ac:dyDescent="0.25">
      <c r="B34" s="90"/>
      <c r="C34" s="143" t="s">
        <v>240</v>
      </c>
      <c r="D34" s="337">
        <f>D20*M9</f>
        <v>0</v>
      </c>
      <c r="E34" s="337">
        <f>D20*M15</f>
        <v>23375</v>
      </c>
      <c r="F34" s="348">
        <f>D20*M21</f>
        <v>155358.23647056884</v>
      </c>
      <c r="G34" s="47"/>
      <c r="H34" s="130"/>
      <c r="I34" s="130"/>
      <c r="J34" s="130"/>
      <c r="K34" s="130"/>
      <c r="L34" s="130"/>
      <c r="M34" s="130"/>
      <c r="N34" s="130"/>
      <c r="O34" s="155"/>
    </row>
    <row r="35" spans="2:15" ht="18" customHeight="1" x14ac:dyDescent="0.25">
      <c r="B35" s="90"/>
      <c r="C35" s="143" t="s">
        <v>241</v>
      </c>
      <c r="D35" s="337">
        <f>D21*M8</f>
        <v>19634.954084936206</v>
      </c>
      <c r="E35" s="337">
        <f>D21*M14</f>
        <v>36634.954084936202</v>
      </c>
      <c r="F35" s="348">
        <f>D21*M20</f>
        <v>132622.76242716811</v>
      </c>
      <c r="G35" s="47"/>
      <c r="H35" s="130"/>
      <c r="I35" s="130"/>
      <c r="J35" s="130"/>
      <c r="K35" s="130"/>
      <c r="L35" s="130"/>
      <c r="M35" s="130"/>
      <c r="N35" s="130"/>
      <c r="O35" s="155"/>
    </row>
    <row r="36" spans="2:15" ht="18" customHeight="1" x14ac:dyDescent="0.25">
      <c r="B36" s="90"/>
      <c r="C36" s="143" t="s">
        <v>198</v>
      </c>
      <c r="D36" s="337">
        <f>D22*M10</f>
        <v>29733.633774271551</v>
      </c>
      <c r="E36" s="337">
        <f>D22*M16</f>
        <v>25259.949563745235</v>
      </c>
      <c r="F36" s="348">
        <f>D22*M22</f>
        <v>0</v>
      </c>
      <c r="G36" s="47"/>
      <c r="H36" s="130"/>
      <c r="I36" s="130"/>
      <c r="J36" s="130"/>
      <c r="K36" s="130"/>
      <c r="L36" s="130"/>
      <c r="M36" s="130"/>
      <c r="N36" s="130"/>
      <c r="O36" s="155"/>
    </row>
    <row r="37" spans="2:15" ht="18" customHeight="1" x14ac:dyDescent="0.25">
      <c r="B37" s="90"/>
      <c r="C37" s="143" t="s">
        <v>200</v>
      </c>
      <c r="D37" s="337">
        <f>D23*M11</f>
        <v>0</v>
      </c>
      <c r="E37" s="337">
        <f>D23*M17</f>
        <v>0</v>
      </c>
      <c r="F37" s="348">
        <f>D23*M23</f>
        <v>0</v>
      </c>
      <c r="G37" s="47"/>
      <c r="H37" s="130"/>
      <c r="I37" s="130"/>
      <c r="J37" s="130"/>
      <c r="K37" s="130"/>
      <c r="L37" s="130"/>
      <c r="M37" s="130"/>
      <c r="N37" s="130"/>
      <c r="O37" s="155"/>
    </row>
    <row r="38" spans="2:15" ht="18" customHeight="1" x14ac:dyDescent="0.25">
      <c r="B38" s="90"/>
      <c r="C38" s="143" t="s">
        <v>201</v>
      </c>
      <c r="D38" s="337">
        <f>IF('Input og output'!H28="Ja",Kostnader!D24*Kostnader!M5,0)</f>
        <v>0</v>
      </c>
      <c r="E38" s="337">
        <f>IF('Input og output'!H28="Ja",Kostnader!D24*Kostnader!M5,0)</f>
        <v>0</v>
      </c>
      <c r="F38" s="348">
        <f>IF('Input og output'!H28="Ja",Kostnader!D24*Kostnader!M5,0)</f>
        <v>0</v>
      </c>
      <c r="G38" s="47"/>
      <c r="H38" s="130"/>
      <c r="I38" s="130"/>
      <c r="J38" s="130"/>
      <c r="K38" s="130"/>
      <c r="L38" s="130"/>
      <c r="M38" s="130"/>
      <c r="N38" s="130"/>
      <c r="O38" s="155"/>
    </row>
    <row r="39" spans="2:15" ht="18" customHeight="1" x14ac:dyDescent="0.25">
      <c r="B39" s="90"/>
      <c r="C39" s="143" t="s">
        <v>461</v>
      </c>
      <c r="D39" s="337">
        <f>SUM(D34:D38)*D25</f>
        <v>9873.7175718415529</v>
      </c>
      <c r="E39" s="337">
        <f>SUM(E34:E38)*D25</f>
        <v>17053.98072973629</v>
      </c>
      <c r="F39" s="348">
        <f>SUM(F34:F38)*D25</f>
        <v>57596.199779547394</v>
      </c>
      <c r="G39" s="47"/>
      <c r="H39" s="130"/>
      <c r="I39" s="130"/>
      <c r="J39" s="130"/>
      <c r="K39" s="130"/>
      <c r="L39" s="130"/>
      <c r="M39" s="130"/>
      <c r="N39" s="130"/>
      <c r="O39" s="155"/>
    </row>
    <row r="40" spans="2:15" ht="18" customHeight="1" x14ac:dyDescent="0.25">
      <c r="B40" s="90"/>
      <c r="C40" s="178"/>
      <c r="D40" s="336"/>
      <c r="E40" s="336"/>
      <c r="F40" s="349"/>
      <c r="G40" s="47"/>
      <c r="H40" s="130"/>
      <c r="I40" s="130"/>
      <c r="J40" s="130"/>
      <c r="K40" s="130"/>
      <c r="L40" s="130"/>
      <c r="M40" s="130"/>
      <c r="N40" s="130"/>
      <c r="O40" s="155"/>
    </row>
    <row r="41" spans="2:15" ht="18" customHeight="1" x14ac:dyDescent="0.25">
      <c r="B41" s="90"/>
      <c r="C41" s="350" t="s">
        <v>255</v>
      </c>
      <c r="D41" s="352">
        <f>SUM(D34:D40)</f>
        <v>59242.30543104931</v>
      </c>
      <c r="E41" s="352">
        <f>SUM(E34:E40)</f>
        <v>102323.88437841773</v>
      </c>
      <c r="F41" s="353">
        <f>SUM(F34:F40)</f>
        <v>345577.19867728435</v>
      </c>
      <c r="G41" s="47"/>
      <c r="H41" s="130"/>
      <c r="I41" s="130"/>
      <c r="J41" s="130"/>
      <c r="K41" s="130"/>
      <c r="L41" s="130"/>
      <c r="M41" s="130"/>
      <c r="N41" s="130"/>
      <c r="O41" s="155"/>
    </row>
    <row r="42" spans="2:15" ht="18" customHeight="1" x14ac:dyDescent="0.25">
      <c r="B42" s="90"/>
      <c r="C42" s="170" t="s">
        <v>402</v>
      </c>
      <c r="D42" s="447">
        <f>SUM(D34:D37)+(SUM(D34:D37)*D25)+D40</f>
        <v>59242.30543104931</v>
      </c>
      <c r="E42" s="447">
        <f>SUM(E34:E37)+(SUM(E34:E37)*D25)+E40</f>
        <v>102323.88437841773</v>
      </c>
      <c r="F42" s="492">
        <f>SUM(F34:F37)+(SUM(F34:F37)*D25)+F40</f>
        <v>345577.19867728435</v>
      </c>
      <c r="G42" s="47"/>
      <c r="H42" s="130"/>
      <c r="I42" s="130"/>
      <c r="J42" s="130"/>
      <c r="K42" s="130"/>
      <c r="L42" s="130"/>
      <c r="M42" s="130"/>
      <c r="N42" s="130"/>
      <c r="O42" s="155"/>
    </row>
    <row r="43" spans="2:15" ht="18" customHeight="1" x14ac:dyDescent="0.25">
      <c r="B43" s="90"/>
      <c r="C43" s="178"/>
      <c r="D43" s="336"/>
      <c r="E43" s="179"/>
      <c r="F43" s="180"/>
      <c r="G43" s="47"/>
      <c r="H43" s="130"/>
      <c r="I43" s="130"/>
      <c r="J43" s="130"/>
      <c r="K43" s="130"/>
      <c r="L43" s="130"/>
      <c r="M43" s="130"/>
      <c r="N43" s="130"/>
      <c r="O43" s="155"/>
    </row>
    <row r="44" spans="2:15" ht="18" customHeight="1" thickBot="1" x14ac:dyDescent="0.3">
      <c r="B44" s="164"/>
      <c r="C44" s="166"/>
      <c r="D44" s="166"/>
      <c r="E44" s="166"/>
      <c r="F44" s="166"/>
      <c r="G44" s="166"/>
      <c r="H44" s="166"/>
      <c r="I44" s="166"/>
      <c r="J44" s="166"/>
      <c r="K44" s="166"/>
      <c r="L44" s="166"/>
      <c r="M44" s="166"/>
      <c r="N44" s="166"/>
      <c r="O44" s="167"/>
    </row>
    <row r="47" spans="2:15" ht="18" customHeight="1" x14ac:dyDescent="0.25">
      <c r="E47" s="238"/>
    </row>
  </sheetData>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54DBC-8E8E-4D6B-A6AF-08626F0CEE77}">
  <sheetPr codeName="Sheet7">
    <tabColor theme="4"/>
  </sheetPr>
  <dimension ref="A1:T64"/>
  <sheetViews>
    <sheetView zoomScale="70" zoomScaleNormal="70" workbookViewId="0">
      <selection activeCell="K19" sqref="K19"/>
    </sheetView>
  </sheetViews>
  <sheetFormatPr baseColWidth="10" defaultColWidth="9.140625" defaultRowHeight="15" x14ac:dyDescent="0.25"/>
  <cols>
    <col min="1" max="1" width="3.7109375" style="1" customWidth="1"/>
    <col min="2" max="2" width="2.28515625" style="1" customWidth="1"/>
    <col min="3" max="7" width="9.140625" style="1"/>
    <col min="8" max="8" width="13.5703125" style="1" customWidth="1"/>
    <col min="9" max="9" width="13.7109375" style="1" customWidth="1"/>
    <col min="10" max="10" width="3.28515625" style="1" customWidth="1"/>
    <col min="11" max="11" width="14" style="1" customWidth="1"/>
    <col min="12" max="15" width="9.140625" style="1"/>
    <col min="16" max="16" width="14.140625" style="1" customWidth="1"/>
    <col min="17" max="17" width="6" style="1" customWidth="1"/>
    <col min="18" max="18" width="16.85546875" style="185" customWidth="1"/>
    <col min="19" max="19" width="15.5703125" style="1" customWidth="1"/>
    <col min="20" max="20" width="2.5703125" style="1" customWidth="1"/>
    <col min="21" max="21" width="9.140625" style="1"/>
    <col min="22" max="22" width="12.42578125" style="1" customWidth="1"/>
    <col min="23" max="16384" width="9.140625" style="1"/>
  </cols>
  <sheetData>
    <row r="1" spans="1:20" ht="21.75" thickBot="1" x14ac:dyDescent="0.4">
      <c r="A1" s="2"/>
    </row>
    <row r="2" spans="1:20" ht="24" thickBot="1" x14ac:dyDescent="0.4">
      <c r="B2" s="84" t="s">
        <v>225</v>
      </c>
      <c r="C2" s="85"/>
      <c r="D2" s="85"/>
      <c r="E2" s="85"/>
      <c r="F2" s="85"/>
      <c r="G2" s="85"/>
      <c r="H2" s="85"/>
      <c r="I2" s="85"/>
      <c r="J2" s="85"/>
      <c r="K2" s="85"/>
      <c r="L2" s="85"/>
      <c r="M2" s="85"/>
      <c r="N2" s="85"/>
      <c r="O2" s="85"/>
      <c r="P2" s="85"/>
      <c r="Q2" s="85"/>
      <c r="R2" s="186"/>
      <c r="S2" s="85"/>
      <c r="T2" s="86"/>
    </row>
    <row r="3" spans="1:20" x14ac:dyDescent="0.25">
      <c r="B3" s="138"/>
      <c r="C3" s="130"/>
      <c r="D3" s="130"/>
      <c r="E3" s="130"/>
      <c r="F3" s="130"/>
      <c r="G3" s="130"/>
      <c r="H3" s="130"/>
      <c r="I3" s="130"/>
      <c r="J3" s="130"/>
      <c r="K3" s="130"/>
      <c r="L3" s="130"/>
      <c r="M3" s="130"/>
      <c r="N3" s="130"/>
      <c r="O3" s="130"/>
      <c r="P3" s="130"/>
      <c r="Q3" s="130"/>
      <c r="R3" s="187"/>
      <c r="S3" s="130"/>
      <c r="T3" s="155"/>
    </row>
    <row r="4" spans="1:20" x14ac:dyDescent="0.25">
      <c r="B4" s="138"/>
      <c r="C4" s="139" t="s">
        <v>215</v>
      </c>
      <c r="D4" s="174"/>
      <c r="E4" s="174"/>
      <c r="F4" s="174"/>
      <c r="G4" s="174"/>
      <c r="H4" s="174"/>
      <c r="I4" s="175"/>
      <c r="J4" s="130"/>
      <c r="K4" s="139" t="s">
        <v>180</v>
      </c>
      <c r="L4" s="174"/>
      <c r="M4" s="174"/>
      <c r="N4" s="174"/>
      <c r="O4" s="174"/>
      <c r="P4" s="174"/>
      <c r="Q4" s="174"/>
      <c r="R4" s="188"/>
      <c r="S4" s="175"/>
      <c r="T4" s="155"/>
    </row>
    <row r="5" spans="1:20" ht="15.75" customHeight="1" x14ac:dyDescent="0.35">
      <c r="B5" s="138"/>
      <c r="C5" s="170" t="s">
        <v>221</v>
      </c>
      <c r="D5" s="171"/>
      <c r="E5" s="171"/>
      <c r="F5" s="171"/>
      <c r="G5" s="171" t="s">
        <v>556</v>
      </c>
      <c r="H5" s="171"/>
      <c r="I5" s="172"/>
      <c r="J5" s="130"/>
      <c r="K5" s="173" t="s">
        <v>259</v>
      </c>
      <c r="L5" s="171"/>
      <c r="M5" s="171"/>
      <c r="N5" s="171"/>
      <c r="O5" s="171"/>
      <c r="P5" s="171"/>
      <c r="Q5" s="182" t="s">
        <v>181</v>
      </c>
      <c r="R5" s="189">
        <v>3.15E-3</v>
      </c>
      <c r="S5" s="172" t="s">
        <v>447</v>
      </c>
      <c r="T5" s="155"/>
    </row>
    <row r="6" spans="1:20" ht="15.75" customHeight="1" x14ac:dyDescent="0.25">
      <c r="B6" s="138"/>
      <c r="C6" s="173" t="s">
        <v>554</v>
      </c>
      <c r="D6" s="171"/>
      <c r="E6" s="171"/>
      <c r="F6" s="171"/>
      <c r="G6" s="171" t="s">
        <v>555</v>
      </c>
      <c r="H6" s="171"/>
      <c r="I6" s="172"/>
      <c r="J6" s="130"/>
      <c r="K6" s="173"/>
      <c r="L6" s="171"/>
      <c r="M6" s="171"/>
      <c r="N6" s="171"/>
      <c r="O6" s="171"/>
      <c r="P6" s="171"/>
      <c r="Q6" s="182"/>
      <c r="R6" s="469"/>
      <c r="S6" s="172"/>
      <c r="T6" s="155"/>
    </row>
    <row r="7" spans="1:20" ht="18" x14ac:dyDescent="0.35">
      <c r="B7" s="138"/>
      <c r="C7" s="168"/>
      <c r="D7" s="168"/>
      <c r="E7" s="168"/>
      <c r="F7" s="168"/>
      <c r="G7" s="168"/>
      <c r="H7" s="168"/>
      <c r="I7" s="168"/>
      <c r="J7" s="130"/>
      <c r="K7" s="173" t="s">
        <v>182</v>
      </c>
      <c r="L7" s="171"/>
      <c r="M7" s="171"/>
      <c r="N7" s="171"/>
      <c r="O7" s="171"/>
      <c r="P7" s="171"/>
      <c r="Q7" s="182" t="s">
        <v>183</v>
      </c>
      <c r="R7" s="189">
        <v>3.24</v>
      </c>
      <c r="S7" s="172" t="s">
        <v>447</v>
      </c>
      <c r="T7" s="155"/>
    </row>
    <row r="8" spans="1:20" ht="15.75" thickBot="1" x14ac:dyDescent="0.3">
      <c r="B8" s="138"/>
      <c r="C8" s="139" t="s">
        <v>216</v>
      </c>
      <c r="D8" s="174"/>
      <c r="E8" s="174"/>
      <c r="F8" s="174"/>
      <c r="G8" s="174"/>
      <c r="H8" s="174"/>
      <c r="I8" s="175"/>
      <c r="J8" s="130"/>
      <c r="K8" s="173"/>
      <c r="L8" s="171"/>
      <c r="M8" s="171"/>
      <c r="N8" s="171"/>
      <c r="O8" s="171"/>
      <c r="P8" s="171"/>
      <c r="Q8" s="182"/>
      <c r="R8" s="469"/>
      <c r="S8" s="172"/>
      <c r="T8" s="155"/>
    </row>
    <row r="9" spans="1:20" ht="18.75" thickBot="1" x14ac:dyDescent="0.4">
      <c r="B9" s="138"/>
      <c r="C9" s="173" t="s">
        <v>228</v>
      </c>
      <c r="D9" s="171"/>
      <c r="E9" s="171"/>
      <c r="F9" s="171"/>
      <c r="G9" s="171"/>
      <c r="H9" s="177">
        <f>'Input og output'!H17</f>
        <v>500</v>
      </c>
      <c r="I9" s="172" t="s">
        <v>11</v>
      </c>
      <c r="J9" s="130"/>
      <c r="K9" s="173" t="s">
        <v>185</v>
      </c>
      <c r="L9" s="171"/>
      <c r="M9" s="171"/>
      <c r="N9" s="171"/>
      <c r="O9" s="171"/>
      <c r="P9" s="171"/>
      <c r="Q9" s="182" t="s">
        <v>184</v>
      </c>
      <c r="R9" s="189">
        <v>5.2800120000000013E-2</v>
      </c>
      <c r="S9" s="172" t="s">
        <v>447</v>
      </c>
      <c r="T9" s="155"/>
    </row>
    <row r="10" spans="1:20" ht="15.75" thickBot="1" x14ac:dyDescent="0.3">
      <c r="B10" s="138"/>
      <c r="C10" s="173"/>
      <c r="D10" s="171"/>
      <c r="E10" s="171"/>
      <c r="F10" s="171"/>
      <c r="G10" s="171"/>
      <c r="H10" s="171"/>
      <c r="I10" s="172"/>
      <c r="J10" s="130"/>
      <c r="K10" s="173"/>
      <c r="L10" s="171"/>
      <c r="M10" s="171"/>
      <c r="N10" s="171"/>
      <c r="O10" s="171"/>
      <c r="P10" s="171"/>
      <c r="Q10" s="182"/>
      <c r="R10" s="469"/>
      <c r="S10" s="172"/>
      <c r="T10" s="155"/>
    </row>
    <row r="11" spans="1:20" ht="19.5" thickBot="1" x14ac:dyDescent="0.4">
      <c r="B11" s="138"/>
      <c r="C11" s="173" t="s">
        <v>59</v>
      </c>
      <c r="D11" s="171"/>
      <c r="E11" s="171"/>
      <c r="F11" s="171"/>
      <c r="G11" s="171"/>
      <c r="H11" s="177">
        <f>'Input og output'!H13</f>
        <v>500</v>
      </c>
      <c r="I11" s="172" t="s">
        <v>60</v>
      </c>
      <c r="J11" s="130"/>
      <c r="K11" s="173" t="s">
        <v>260</v>
      </c>
      <c r="L11" s="171"/>
      <c r="M11" s="171"/>
      <c r="N11" s="171"/>
      <c r="O11" s="171"/>
      <c r="P11" s="171"/>
      <c r="Q11" s="182" t="s">
        <v>462</v>
      </c>
      <c r="R11" s="189">
        <v>0.53111868480000002</v>
      </c>
      <c r="S11" s="172" t="s">
        <v>447</v>
      </c>
      <c r="T11" s="155"/>
    </row>
    <row r="12" spans="1:20" ht="15.75" thickBot="1" x14ac:dyDescent="0.3">
      <c r="B12" s="138"/>
      <c r="C12" s="173"/>
      <c r="D12" s="171"/>
      <c r="E12" s="171"/>
      <c r="F12" s="171"/>
      <c r="G12" s="171"/>
      <c r="H12" s="171"/>
      <c r="I12" s="172"/>
      <c r="J12" s="130"/>
      <c r="K12" s="173"/>
      <c r="L12" s="171"/>
      <c r="M12" s="171"/>
      <c r="N12" s="171"/>
      <c r="O12" s="171"/>
      <c r="P12" s="171"/>
      <c r="Q12" s="182"/>
      <c r="R12" s="469"/>
      <c r="S12" s="172"/>
      <c r="T12" s="155"/>
    </row>
    <row r="13" spans="1:20" ht="15.75" thickBot="1" x14ac:dyDescent="0.3">
      <c r="B13" s="138"/>
      <c r="C13" s="173" t="s">
        <v>222</v>
      </c>
      <c r="D13" s="171"/>
      <c r="E13" s="171"/>
      <c r="F13" s="171"/>
      <c r="G13" s="171"/>
      <c r="H13" s="177">
        <f>'Input og output'!S5*Klimagassberegninger!H17</f>
        <v>10</v>
      </c>
      <c r="I13" s="172" t="s">
        <v>16</v>
      </c>
      <c r="J13" s="130"/>
      <c r="K13" s="612"/>
      <c r="L13" s="171"/>
      <c r="M13" s="171"/>
      <c r="N13" s="171"/>
      <c r="O13" s="171"/>
      <c r="P13" s="171"/>
      <c r="Q13" s="182"/>
      <c r="R13" s="469"/>
      <c r="S13" s="172"/>
      <c r="T13" s="155"/>
    </row>
    <row r="14" spans="1:20" ht="15.75" thickBot="1" x14ac:dyDescent="0.3">
      <c r="B14" s="138"/>
      <c r="C14" s="173"/>
      <c r="D14" s="171"/>
      <c r="E14" s="171"/>
      <c r="F14" s="171"/>
      <c r="G14" s="171"/>
      <c r="H14" s="171"/>
      <c r="I14" s="172"/>
      <c r="J14" s="130"/>
      <c r="K14" s="178"/>
      <c r="L14" s="179"/>
      <c r="M14" s="179"/>
      <c r="N14" s="179"/>
      <c r="O14" s="179"/>
      <c r="P14" s="179"/>
      <c r="Q14" s="183"/>
      <c r="R14" s="190"/>
      <c r="S14" s="180"/>
      <c r="T14" s="155"/>
    </row>
    <row r="15" spans="1:20" ht="15.75" thickBot="1" x14ac:dyDescent="0.3">
      <c r="B15" s="138"/>
      <c r="C15" s="173" t="s">
        <v>223</v>
      </c>
      <c r="D15" s="171"/>
      <c r="E15" s="171"/>
      <c r="F15" s="171"/>
      <c r="G15" s="171"/>
      <c r="H15" s="177">
        <f>'Input og output'!S7*Klimagassberegninger!H17</f>
        <v>10</v>
      </c>
      <c r="I15" s="172"/>
      <c r="J15" s="130"/>
      <c r="K15" s="130"/>
      <c r="L15" s="130"/>
      <c r="M15" s="130"/>
      <c r="N15" s="130"/>
      <c r="O15" s="130"/>
      <c r="P15" s="130"/>
      <c r="Q15" s="130"/>
      <c r="R15" s="187"/>
      <c r="S15" s="130"/>
      <c r="T15" s="155"/>
    </row>
    <row r="16" spans="1:20" x14ac:dyDescent="0.25">
      <c r="B16" s="138"/>
      <c r="C16" s="173"/>
      <c r="D16" s="171"/>
      <c r="E16" s="171"/>
      <c r="F16" s="171"/>
      <c r="G16" s="171"/>
      <c r="H16" s="171"/>
      <c r="I16" s="172"/>
      <c r="J16" s="130"/>
      <c r="K16" s="139" t="s">
        <v>179</v>
      </c>
      <c r="L16" s="174"/>
      <c r="M16" s="174"/>
      <c r="N16" s="174"/>
      <c r="O16" s="174"/>
      <c r="P16" s="174"/>
      <c r="Q16" s="174"/>
      <c r="R16" s="188"/>
      <c r="S16" s="175"/>
      <c r="T16" s="155"/>
    </row>
    <row r="17" spans="2:20" x14ac:dyDescent="0.25">
      <c r="B17" s="138"/>
      <c r="C17" s="173" t="s">
        <v>224</v>
      </c>
      <c r="D17" s="171"/>
      <c r="E17" s="171"/>
      <c r="F17" s="171"/>
      <c r="G17" s="171"/>
      <c r="H17" s="171">
        <v>1E-3</v>
      </c>
      <c r="I17" s="172"/>
      <c r="J17" s="130"/>
      <c r="K17" s="184" t="s">
        <v>174</v>
      </c>
      <c r="L17" s="171"/>
      <c r="M17" s="171"/>
      <c r="N17" s="171"/>
      <c r="O17" s="171"/>
      <c r="P17" s="171"/>
      <c r="Q17" s="171"/>
      <c r="R17" s="189"/>
      <c r="S17" s="172"/>
      <c r="T17" s="155"/>
    </row>
    <row r="18" spans="2:20" ht="17.25" x14ac:dyDescent="0.25">
      <c r="B18" s="138"/>
      <c r="C18" s="178"/>
      <c r="D18" s="179"/>
      <c r="E18" s="179"/>
      <c r="F18" s="179"/>
      <c r="G18" s="179"/>
      <c r="H18" s="179"/>
      <c r="I18" s="180"/>
      <c r="J18" s="130"/>
      <c r="K18" s="173" t="s">
        <v>175</v>
      </c>
      <c r="L18" s="171"/>
      <c r="M18" s="171"/>
      <c r="N18" s="171"/>
      <c r="O18" s="171"/>
      <c r="P18" s="171"/>
      <c r="Q18" s="171"/>
      <c r="R18" s="171">
        <v>1.6</v>
      </c>
      <c r="S18" s="149" t="s">
        <v>463</v>
      </c>
      <c r="T18" s="155"/>
    </row>
    <row r="19" spans="2:20" x14ac:dyDescent="0.25">
      <c r="B19" s="138"/>
      <c r="C19" s="130"/>
      <c r="D19" s="130"/>
      <c r="E19" s="130"/>
      <c r="F19" s="130"/>
      <c r="G19" s="130"/>
      <c r="H19" s="130"/>
      <c r="I19" s="130"/>
      <c r="J19" s="130"/>
      <c r="K19" s="173"/>
      <c r="L19" s="171"/>
      <c r="M19" s="171"/>
      <c r="N19" s="171"/>
      <c r="O19" s="171"/>
      <c r="P19" s="171"/>
      <c r="Q19" s="171"/>
      <c r="R19" s="171"/>
      <c r="S19" s="149"/>
      <c r="T19" s="155"/>
    </row>
    <row r="20" spans="2:20" ht="17.25" x14ac:dyDescent="0.25">
      <c r="B20" s="138"/>
      <c r="C20" s="139" t="s">
        <v>217</v>
      </c>
      <c r="D20" s="174"/>
      <c r="E20" s="174"/>
      <c r="F20" s="174"/>
      <c r="G20" s="174"/>
      <c r="H20" s="174"/>
      <c r="I20" s="175"/>
      <c r="J20" s="130"/>
      <c r="K20" s="173" t="s">
        <v>176</v>
      </c>
      <c r="L20" s="171"/>
      <c r="M20" s="171"/>
      <c r="N20" s="171"/>
      <c r="O20" s="171"/>
      <c r="P20" s="171"/>
      <c r="Q20" s="171"/>
      <c r="R20" s="171">
        <v>1.55</v>
      </c>
      <c r="S20" s="149" t="s">
        <v>463</v>
      </c>
      <c r="T20" s="155"/>
    </row>
    <row r="21" spans="2:20" x14ac:dyDescent="0.25">
      <c r="B21" s="138"/>
      <c r="C21" s="173" t="s">
        <v>226</v>
      </c>
      <c r="D21" s="171"/>
      <c r="E21" s="171"/>
      <c r="F21" s="171"/>
      <c r="G21" s="171"/>
      <c r="H21" s="171"/>
      <c r="I21" s="172"/>
      <c r="J21" s="130"/>
      <c r="K21" s="173"/>
      <c r="L21" s="171"/>
      <c r="M21" s="171"/>
      <c r="N21" s="171"/>
      <c r="O21" s="171"/>
      <c r="P21" s="171"/>
      <c r="Q21" s="171"/>
      <c r="R21" s="171"/>
      <c r="S21" s="149"/>
      <c r="T21" s="155"/>
    </row>
    <row r="22" spans="2:20" x14ac:dyDescent="0.25">
      <c r="B22" s="138"/>
      <c r="C22" s="173"/>
      <c r="D22" s="171"/>
      <c r="E22" s="171"/>
      <c r="F22" s="171"/>
      <c r="G22" s="171"/>
      <c r="H22" s="171"/>
      <c r="I22" s="172"/>
      <c r="J22" s="130"/>
      <c r="K22" s="173" t="s">
        <v>320</v>
      </c>
      <c r="L22" s="171"/>
      <c r="M22" s="171"/>
      <c r="N22" s="171"/>
      <c r="O22" s="171"/>
      <c r="P22" s="171"/>
      <c r="Q22" s="171"/>
      <c r="R22" s="205">
        <v>1000</v>
      </c>
      <c r="S22" s="172"/>
      <c r="T22" s="155"/>
    </row>
    <row r="23" spans="2:20" x14ac:dyDescent="0.25">
      <c r="B23" s="138"/>
      <c r="C23" s="173" t="s">
        <v>227</v>
      </c>
      <c r="D23" s="171"/>
      <c r="E23" s="171"/>
      <c r="F23" s="171"/>
      <c r="G23" s="181"/>
      <c r="H23" s="83"/>
      <c r="I23" s="172"/>
      <c r="J23" s="130"/>
      <c r="K23" s="173"/>
      <c r="L23" s="171"/>
      <c r="M23" s="171"/>
      <c r="N23" s="171"/>
      <c r="O23" s="171"/>
      <c r="P23" s="171"/>
      <c r="Q23" s="171"/>
      <c r="R23" s="189"/>
      <c r="S23" s="172"/>
      <c r="T23" s="155"/>
    </row>
    <row r="24" spans="2:20" x14ac:dyDescent="0.25">
      <c r="B24" s="138"/>
      <c r="C24" s="178"/>
      <c r="D24" s="179"/>
      <c r="E24" s="179"/>
      <c r="F24" s="179"/>
      <c r="G24" s="179"/>
      <c r="H24" s="179"/>
      <c r="I24" s="180"/>
      <c r="J24" s="130"/>
      <c r="K24" s="184" t="s">
        <v>177</v>
      </c>
      <c r="L24" s="171"/>
      <c r="M24" s="171"/>
      <c r="N24" s="171"/>
      <c r="O24" s="171"/>
      <c r="P24" s="171"/>
      <c r="Q24" s="171"/>
      <c r="R24" s="171"/>
      <c r="S24" s="149"/>
      <c r="T24" s="155"/>
    </row>
    <row r="25" spans="2:20" x14ac:dyDescent="0.25">
      <c r="B25" s="138"/>
      <c r="C25" s="130"/>
      <c r="D25" s="130"/>
      <c r="E25" s="130"/>
      <c r="F25" s="130"/>
      <c r="G25" s="130"/>
      <c r="H25" s="130"/>
      <c r="I25" s="130"/>
      <c r="J25" s="130"/>
      <c r="K25" s="173" t="s">
        <v>178</v>
      </c>
      <c r="L25" s="171"/>
      <c r="M25" s="171"/>
      <c r="N25" s="171"/>
      <c r="O25" s="171"/>
      <c r="P25" s="171"/>
      <c r="Q25" s="171"/>
      <c r="R25" s="171">
        <v>0.26</v>
      </c>
      <c r="S25" s="149" t="s">
        <v>306</v>
      </c>
      <c r="T25" s="155"/>
    </row>
    <row r="26" spans="2:20" x14ac:dyDescent="0.25">
      <c r="B26" s="138"/>
      <c r="C26" s="139" t="s">
        <v>173</v>
      </c>
      <c r="D26" s="295"/>
      <c r="E26" s="295"/>
      <c r="F26" s="295"/>
      <c r="G26" s="295"/>
      <c r="H26" s="295"/>
      <c r="I26" s="296"/>
      <c r="J26" s="130"/>
      <c r="K26" s="178"/>
      <c r="L26" s="179"/>
      <c r="M26" s="179"/>
      <c r="N26" s="179"/>
      <c r="O26" s="179"/>
      <c r="P26" s="179"/>
      <c r="Q26" s="179"/>
      <c r="R26" s="179"/>
      <c r="S26" s="151"/>
      <c r="T26" s="155"/>
    </row>
    <row r="27" spans="2:20" x14ac:dyDescent="0.25">
      <c r="B27" s="138"/>
      <c r="C27" s="173" t="s">
        <v>303</v>
      </c>
      <c r="D27" s="171"/>
      <c r="E27" s="171"/>
      <c r="F27" s="171"/>
      <c r="G27" s="171"/>
      <c r="H27" s="171">
        <f>H11*PI()*H28</f>
        <v>1.5707963267948966</v>
      </c>
      <c r="I27" s="172" t="s">
        <v>11</v>
      </c>
      <c r="J27" s="130"/>
      <c r="K27" s="130"/>
      <c r="L27" s="130"/>
      <c r="M27" s="130"/>
      <c r="N27" s="130"/>
      <c r="O27" s="130"/>
      <c r="P27" s="130"/>
      <c r="Q27" s="130"/>
      <c r="R27" s="130"/>
      <c r="S27" s="47"/>
      <c r="T27" s="155"/>
    </row>
    <row r="28" spans="2:20" x14ac:dyDescent="0.25">
      <c r="B28" s="138"/>
      <c r="C28" s="173" t="s">
        <v>304</v>
      </c>
      <c r="D28" s="171"/>
      <c r="E28" s="171"/>
      <c r="F28" s="171"/>
      <c r="G28" s="171"/>
      <c r="H28" s="171">
        <v>1E-3</v>
      </c>
      <c r="I28" s="172"/>
      <c r="J28" s="130"/>
      <c r="K28" s="139" t="s">
        <v>409</v>
      </c>
      <c r="L28" s="292"/>
      <c r="M28" s="292"/>
      <c r="N28" s="292"/>
      <c r="O28" s="292"/>
      <c r="P28" s="292"/>
      <c r="Q28" s="292"/>
      <c r="R28" s="292"/>
      <c r="S28" s="201"/>
      <c r="T28" s="155"/>
    </row>
    <row r="29" spans="2:20" ht="19.5" thickBot="1" x14ac:dyDescent="0.4">
      <c r="B29" s="138"/>
      <c r="C29" s="173" t="s">
        <v>305</v>
      </c>
      <c r="D29" s="171"/>
      <c r="E29" s="171"/>
      <c r="F29" s="171"/>
      <c r="G29" s="171"/>
      <c r="H29" s="205">
        <f>2*H27*'Input og output'!H17</f>
        <v>1570.7963267948965</v>
      </c>
      <c r="I29" s="527" t="s">
        <v>462</v>
      </c>
      <c r="J29" s="130"/>
      <c r="K29" s="173" t="s">
        <v>410</v>
      </c>
      <c r="L29" s="171"/>
      <c r="M29" s="171"/>
      <c r="N29" s="171"/>
      <c r="O29" s="171"/>
      <c r="P29" s="171"/>
      <c r="Q29" s="171"/>
      <c r="R29" s="189">
        <f>H29*R11</f>
        <v>834.2792791759764</v>
      </c>
      <c r="S29" s="172" t="s">
        <v>447</v>
      </c>
      <c r="T29" s="155"/>
    </row>
    <row r="30" spans="2:20" ht="18" thickBot="1" x14ac:dyDescent="0.3">
      <c r="B30" s="138"/>
      <c r="C30" s="178" t="s">
        <v>322</v>
      </c>
      <c r="D30" s="179"/>
      <c r="E30" s="179"/>
      <c r="F30" s="179"/>
      <c r="G30" s="179"/>
      <c r="H30" s="177">
        <f>IF('Input og output'!H28="Ja",Klimagassberegninger!H29,0)</f>
        <v>0</v>
      </c>
      <c r="I30" s="528" t="s">
        <v>462</v>
      </c>
      <c r="J30" s="130"/>
      <c r="K30" s="178"/>
      <c r="L30" s="179"/>
      <c r="M30" s="179"/>
      <c r="N30" s="179"/>
      <c r="O30" s="179"/>
      <c r="P30" s="179"/>
      <c r="Q30" s="179"/>
      <c r="R30" s="179"/>
      <c r="S30" s="151"/>
      <c r="T30" s="155"/>
    </row>
    <row r="31" spans="2:20" x14ac:dyDescent="0.25">
      <c r="B31" s="138"/>
      <c r="C31" s="130"/>
      <c r="D31" s="130"/>
      <c r="E31" s="130"/>
      <c r="F31" s="130"/>
      <c r="G31" s="130"/>
      <c r="H31" s="130"/>
      <c r="I31" s="130"/>
      <c r="J31" s="130"/>
      <c r="K31" s="130"/>
      <c r="L31" s="130"/>
      <c r="M31" s="130"/>
      <c r="N31" s="130"/>
      <c r="O31" s="130"/>
      <c r="P31" s="130"/>
      <c r="Q31" s="130"/>
      <c r="R31" s="130"/>
      <c r="S31" s="47"/>
      <c r="T31" s="155"/>
    </row>
    <row r="32" spans="2:20" ht="15.75" thickBot="1" x14ac:dyDescent="0.3">
      <c r="B32" s="138"/>
      <c r="C32" s="139" t="s">
        <v>250</v>
      </c>
      <c r="D32" s="174"/>
      <c r="E32" s="174"/>
      <c r="F32" s="174"/>
      <c r="G32" s="174"/>
      <c r="H32" s="174"/>
      <c r="I32" s="175"/>
      <c r="J32" s="130"/>
      <c r="K32" s="139" t="s">
        <v>297</v>
      </c>
      <c r="L32" s="140"/>
      <c r="M32" s="140"/>
      <c r="N32" s="140"/>
      <c r="O32" s="140"/>
      <c r="P32" s="140"/>
      <c r="Q32" s="140"/>
      <c r="R32" s="294"/>
      <c r="S32" s="141"/>
      <c r="T32" s="155"/>
    </row>
    <row r="33" spans="2:20" ht="17.25" x14ac:dyDescent="0.25">
      <c r="B33" s="138"/>
      <c r="C33" s="173" t="s">
        <v>231</v>
      </c>
      <c r="D33" s="171"/>
      <c r="E33" s="171"/>
      <c r="F33" s="171"/>
      <c r="G33" s="171"/>
      <c r="H33" s="361">
        <f>IF('Input og output'!H13&lt;Grøft!H56,Grøft!F85,Grøft!F92)</f>
        <v>0</v>
      </c>
      <c r="I33" s="149" t="s">
        <v>464</v>
      </c>
      <c r="J33" s="130"/>
      <c r="K33" s="341" t="s">
        <v>323</v>
      </c>
      <c r="L33" s="171"/>
      <c r="M33" s="171"/>
      <c r="N33" s="171"/>
      <c r="O33" s="171"/>
      <c r="P33" s="171"/>
      <c r="Q33" s="171"/>
      <c r="R33" s="171"/>
      <c r="S33" s="172"/>
      <c r="T33" s="155"/>
    </row>
    <row r="34" spans="2:20" ht="18.75" thickBot="1" x14ac:dyDescent="0.4">
      <c r="B34" s="138"/>
      <c r="C34" s="173"/>
      <c r="D34" s="171"/>
      <c r="E34" s="171"/>
      <c r="F34" s="171"/>
      <c r="G34" s="171"/>
      <c r="H34" s="362">
        <f>H33*R20*R22</f>
        <v>0</v>
      </c>
      <c r="I34" s="149" t="s">
        <v>181</v>
      </c>
      <c r="J34" s="130"/>
      <c r="K34" s="173" t="s">
        <v>321</v>
      </c>
      <c r="L34" s="171"/>
      <c r="M34" s="171"/>
      <c r="N34" s="171"/>
      <c r="O34" s="171"/>
      <c r="P34" s="171"/>
      <c r="Q34" s="171"/>
      <c r="R34" s="189">
        <f>H34*R5</f>
        <v>0</v>
      </c>
      <c r="S34" s="172" t="s">
        <v>447</v>
      </c>
      <c r="T34" s="155"/>
    </row>
    <row r="35" spans="2:20" ht="18.75" x14ac:dyDescent="0.35">
      <c r="B35" s="138"/>
      <c r="C35" s="173" t="s">
        <v>219</v>
      </c>
      <c r="D35" s="171"/>
      <c r="E35" s="171"/>
      <c r="F35" s="171"/>
      <c r="G35" s="171"/>
      <c r="H35" s="361">
        <f>IF('Input og output'!H13&lt;Grøft!H56,Grøft!F82,Grøft!F89)</f>
        <v>98.174770424681029</v>
      </c>
      <c r="I35" s="149" t="s">
        <v>464</v>
      </c>
      <c r="J35" s="130"/>
      <c r="K35" s="173" t="s">
        <v>300</v>
      </c>
      <c r="L35" s="171"/>
      <c r="M35" s="171"/>
      <c r="N35" s="171"/>
      <c r="O35" s="171"/>
      <c r="P35" s="171"/>
      <c r="Q35" s="171"/>
      <c r="R35" s="189">
        <f>H36*H13*R9</f>
        <v>82.938234550329781</v>
      </c>
      <c r="S35" s="172" t="s">
        <v>447</v>
      </c>
      <c r="T35" s="155"/>
    </row>
    <row r="36" spans="2:20" ht="18.75" thickBot="1" x14ac:dyDescent="0.4">
      <c r="B36" s="138"/>
      <c r="C36" s="173"/>
      <c r="D36" s="171"/>
      <c r="E36" s="171"/>
      <c r="F36" s="171"/>
      <c r="G36" s="171"/>
      <c r="H36" s="362">
        <f>H35*R18</f>
        <v>157.07963267948966</v>
      </c>
      <c r="I36" s="149" t="s">
        <v>17</v>
      </c>
      <c r="J36" s="130"/>
      <c r="K36" s="173" t="s">
        <v>301</v>
      </c>
      <c r="L36" s="171"/>
      <c r="M36" s="171"/>
      <c r="N36" s="171"/>
      <c r="O36" s="171"/>
      <c r="P36" s="171"/>
      <c r="Q36" s="171"/>
      <c r="R36" s="189">
        <f>H38*H15*R9</f>
        <v>0</v>
      </c>
      <c r="S36" s="172" t="s">
        <v>447</v>
      </c>
      <c r="T36" s="155"/>
    </row>
    <row r="37" spans="2:20" ht="18.75" x14ac:dyDescent="0.35">
      <c r="B37" s="138"/>
      <c r="C37" s="173" t="s">
        <v>220</v>
      </c>
      <c r="D37" s="171"/>
      <c r="E37" s="171"/>
      <c r="F37" s="171"/>
      <c r="G37" s="171"/>
      <c r="H37" s="361">
        <f>IF('Input og output'!H13&lt;Grøft!H56,Grøft!F85,Grøft!F92)</f>
        <v>0</v>
      </c>
      <c r="I37" s="149" t="s">
        <v>464</v>
      </c>
      <c r="J37" s="130"/>
      <c r="K37" s="173" t="s">
        <v>260</v>
      </c>
      <c r="L37" s="171"/>
      <c r="M37" s="171"/>
      <c r="N37" s="171"/>
      <c r="O37" s="171"/>
      <c r="P37" s="171"/>
      <c r="Q37" s="171"/>
      <c r="R37" s="189">
        <f>H30*R11</f>
        <v>0</v>
      </c>
      <c r="S37" s="172" t="s">
        <v>447</v>
      </c>
      <c r="T37" s="155"/>
    </row>
    <row r="38" spans="2:20" ht="18.75" thickBot="1" x14ac:dyDescent="0.4">
      <c r="B38" s="138"/>
      <c r="C38" s="173"/>
      <c r="D38" s="171"/>
      <c r="E38" s="171"/>
      <c r="F38" s="171"/>
      <c r="G38" s="171"/>
      <c r="H38" s="362">
        <f>H37*R20</f>
        <v>0</v>
      </c>
      <c r="I38" s="149" t="s">
        <v>17</v>
      </c>
      <c r="J38" s="130"/>
      <c r="K38" s="173" t="s">
        <v>198</v>
      </c>
      <c r="L38" s="171"/>
      <c r="M38" s="171"/>
      <c r="N38" s="171"/>
      <c r="O38" s="171"/>
      <c r="P38" s="171"/>
      <c r="Q38" s="171"/>
      <c r="R38" s="189">
        <f>(H39*R25)*R7</f>
        <v>500.95226182892713</v>
      </c>
      <c r="S38" s="172" t="s">
        <v>447</v>
      </c>
      <c r="T38" s="155"/>
    </row>
    <row r="39" spans="2:20" ht="19.5" thickBot="1" x14ac:dyDescent="0.4">
      <c r="B39" s="138"/>
      <c r="C39" s="173" t="s">
        <v>302</v>
      </c>
      <c r="D39" s="171"/>
      <c r="E39" s="171"/>
      <c r="F39" s="171"/>
      <c r="G39" s="171"/>
      <c r="H39" s="203">
        <f>IF('Input og output'!H23="Masse 1: Elveavsetninger",'Stedlige masser'!F35,IF('Input og output'!H23="Masse 2: Marine strandavsetninger",'Stedlige masser'!F36,(IF('Input og output'!H23="Masse 3: Sandig morene",'Stedlige masser'!F37,IF('Input og output'!H23="Masse 4: Grusig morene",'Stedlige masser'!F38,0)))))</f>
        <v>594.672675485431</v>
      </c>
      <c r="I39" s="149" t="s">
        <v>464</v>
      </c>
      <c r="J39" s="130"/>
      <c r="K39" s="341" t="s">
        <v>255</v>
      </c>
      <c r="L39" s="363"/>
      <c r="M39" s="363"/>
      <c r="N39" s="363"/>
      <c r="O39" s="363"/>
      <c r="P39" s="363"/>
      <c r="Q39" s="363"/>
      <c r="R39" s="364">
        <f>SUM(R34:R38)</f>
        <v>583.89049637925689</v>
      </c>
      <c r="S39" s="351" t="s">
        <v>448</v>
      </c>
      <c r="T39" s="155"/>
    </row>
    <row r="40" spans="2:20" ht="18" x14ac:dyDescent="0.35">
      <c r="B40" s="138"/>
      <c r="C40" s="173"/>
      <c r="D40" s="171"/>
      <c r="E40" s="171"/>
      <c r="F40" s="171"/>
      <c r="G40" s="171"/>
      <c r="H40" s="171"/>
      <c r="I40" s="172"/>
      <c r="J40" s="130"/>
      <c r="K40" s="173" t="s">
        <v>411</v>
      </c>
      <c r="L40" s="171"/>
      <c r="M40" s="171"/>
      <c r="N40" s="171"/>
      <c r="O40" s="171"/>
      <c r="P40" s="171"/>
      <c r="Q40" s="171"/>
      <c r="R40" s="189">
        <f>SUM(R34:R36,R38:R38)</f>
        <v>583.89049637925689</v>
      </c>
      <c r="S40" s="172" t="s">
        <v>447</v>
      </c>
      <c r="T40" s="155"/>
    </row>
    <row r="41" spans="2:20" x14ac:dyDescent="0.25">
      <c r="B41" s="138"/>
      <c r="C41" s="178"/>
      <c r="D41" s="179"/>
      <c r="E41" s="179"/>
      <c r="F41" s="179"/>
      <c r="G41" s="179"/>
      <c r="H41" s="179"/>
      <c r="I41" s="151"/>
      <c r="J41" s="130"/>
      <c r="K41" s="178"/>
      <c r="L41" s="179"/>
      <c r="M41" s="179"/>
      <c r="N41" s="179"/>
      <c r="O41" s="179"/>
      <c r="P41" s="179"/>
      <c r="Q41" s="179"/>
      <c r="R41" s="190"/>
      <c r="S41" s="180"/>
      <c r="T41" s="155"/>
    </row>
    <row r="42" spans="2:20" x14ac:dyDescent="0.25">
      <c r="B42" s="138"/>
      <c r="C42" s="130"/>
      <c r="D42" s="130"/>
      <c r="E42" s="130"/>
      <c r="F42" s="130"/>
      <c r="G42" s="130"/>
      <c r="H42" s="130"/>
      <c r="I42" s="47"/>
      <c r="J42" s="130"/>
      <c r="K42" s="130"/>
      <c r="L42" s="130"/>
      <c r="M42" s="130"/>
      <c r="N42" s="130"/>
      <c r="O42" s="130"/>
      <c r="P42" s="130"/>
      <c r="Q42" s="130"/>
      <c r="R42" s="187"/>
      <c r="S42" s="130"/>
      <c r="T42" s="155"/>
    </row>
    <row r="43" spans="2:20" ht="15.75" thickBot="1" x14ac:dyDescent="0.3">
      <c r="B43" s="138"/>
      <c r="C43" s="139" t="s">
        <v>251</v>
      </c>
      <c r="D43" s="174"/>
      <c r="E43" s="174"/>
      <c r="F43" s="174"/>
      <c r="G43" s="174"/>
      <c r="H43" s="174"/>
      <c r="I43" s="201"/>
      <c r="J43" s="130"/>
      <c r="K43" s="139" t="s">
        <v>298</v>
      </c>
      <c r="L43" s="140"/>
      <c r="M43" s="140"/>
      <c r="N43" s="140"/>
      <c r="O43" s="140"/>
      <c r="P43" s="140"/>
      <c r="Q43" s="140"/>
      <c r="R43" s="294"/>
      <c r="S43" s="141"/>
      <c r="T43" s="155"/>
    </row>
    <row r="44" spans="2:20" ht="17.25" x14ac:dyDescent="0.25">
      <c r="B44" s="138"/>
      <c r="C44" s="173" t="s">
        <v>231</v>
      </c>
      <c r="D44" s="171"/>
      <c r="E44" s="171"/>
      <c r="F44" s="171"/>
      <c r="G44" s="171"/>
      <c r="H44" s="361">
        <f>IF('Input og output'!H13&lt;Grøft!H56,Grøft!H85,Grøft!H92)</f>
        <v>85</v>
      </c>
      <c r="I44" s="149" t="s">
        <v>464</v>
      </c>
      <c r="J44" s="130"/>
      <c r="K44" s="341" t="s">
        <v>323</v>
      </c>
      <c r="L44" s="171"/>
      <c r="M44" s="171"/>
      <c r="N44" s="171"/>
      <c r="O44" s="171"/>
      <c r="P44" s="171"/>
      <c r="Q44" s="171"/>
      <c r="R44" s="171"/>
      <c r="S44" s="172"/>
      <c r="T44" s="155"/>
    </row>
    <row r="45" spans="2:20" ht="18.75" thickBot="1" x14ac:dyDescent="0.4">
      <c r="B45" s="138"/>
      <c r="C45" s="173"/>
      <c r="D45" s="171"/>
      <c r="E45" s="171"/>
      <c r="F45" s="171"/>
      <c r="G45" s="171"/>
      <c r="H45" s="362">
        <f>H44*R20*R22</f>
        <v>131750</v>
      </c>
      <c r="I45" s="149" t="s">
        <v>181</v>
      </c>
      <c r="J45" s="130"/>
      <c r="K45" s="173" t="s">
        <v>321</v>
      </c>
      <c r="L45" s="171"/>
      <c r="M45" s="171"/>
      <c r="N45" s="171"/>
      <c r="O45" s="171"/>
      <c r="P45" s="171"/>
      <c r="Q45" s="171"/>
      <c r="R45" s="189">
        <f>H45*R5</f>
        <v>415.01249999999999</v>
      </c>
      <c r="S45" s="172" t="s">
        <v>447</v>
      </c>
      <c r="T45" s="155"/>
    </row>
    <row r="46" spans="2:20" ht="18.75" x14ac:dyDescent="0.35">
      <c r="B46" s="138"/>
      <c r="C46" s="173" t="s">
        <v>219</v>
      </c>
      <c r="D46" s="171"/>
      <c r="E46" s="171"/>
      <c r="F46" s="171"/>
      <c r="G46" s="171"/>
      <c r="H46" s="361">
        <f>IF('Input og output'!H13&lt;Grøft!H56,Grøft!H82,Grøft!H89)</f>
        <v>183.17477042468101</v>
      </c>
      <c r="I46" s="149" t="s">
        <v>464</v>
      </c>
      <c r="J46" s="130"/>
      <c r="K46" s="173" t="s">
        <v>300</v>
      </c>
      <c r="L46" s="171"/>
      <c r="M46" s="171"/>
      <c r="N46" s="171"/>
      <c r="O46" s="171"/>
      <c r="P46" s="171"/>
      <c r="Q46" s="171"/>
      <c r="R46" s="189">
        <f>H47*H13*R9</f>
        <v>154.74639775032978</v>
      </c>
      <c r="S46" s="172" t="s">
        <v>447</v>
      </c>
      <c r="T46" s="155"/>
    </row>
    <row r="47" spans="2:20" ht="18.75" thickBot="1" x14ac:dyDescent="0.4">
      <c r="B47" s="138"/>
      <c r="C47" s="173"/>
      <c r="D47" s="171"/>
      <c r="E47" s="171"/>
      <c r="F47" s="171"/>
      <c r="G47" s="171"/>
      <c r="H47" s="362">
        <f>H46*R18</f>
        <v>293.07963267948963</v>
      </c>
      <c r="I47" s="149" t="s">
        <v>17</v>
      </c>
      <c r="J47" s="130"/>
      <c r="K47" s="173" t="s">
        <v>301</v>
      </c>
      <c r="L47" s="171"/>
      <c r="M47" s="171"/>
      <c r="N47" s="171"/>
      <c r="O47" s="171"/>
      <c r="P47" s="171"/>
      <c r="Q47" s="171"/>
      <c r="R47" s="189">
        <f>H49*H15*R9</f>
        <v>69.564158100000014</v>
      </c>
      <c r="S47" s="172" t="s">
        <v>447</v>
      </c>
      <c r="T47" s="155"/>
    </row>
    <row r="48" spans="2:20" ht="18.75" x14ac:dyDescent="0.35">
      <c r="B48" s="138"/>
      <c r="C48" s="173" t="s">
        <v>220</v>
      </c>
      <c r="D48" s="171"/>
      <c r="E48" s="171"/>
      <c r="F48" s="171"/>
      <c r="G48" s="171"/>
      <c r="H48" s="361">
        <f>IF('Input og output'!H13&lt;Grøft!H56,Grøft!H85,Grøft!H92)</f>
        <v>85</v>
      </c>
      <c r="I48" s="149" t="s">
        <v>464</v>
      </c>
      <c r="J48" s="130"/>
      <c r="K48" s="173" t="s">
        <v>260</v>
      </c>
      <c r="L48" s="171"/>
      <c r="M48" s="171"/>
      <c r="N48" s="171"/>
      <c r="O48" s="171"/>
      <c r="P48" s="171"/>
      <c r="Q48" s="171"/>
      <c r="R48" s="189">
        <f>H30*R11</f>
        <v>0</v>
      </c>
      <c r="S48" s="172" t="s">
        <v>447</v>
      </c>
      <c r="T48" s="155"/>
    </row>
    <row r="49" spans="2:20" ht="18.75" thickBot="1" x14ac:dyDescent="0.4">
      <c r="B49" s="138"/>
      <c r="C49" s="173"/>
      <c r="D49" s="171"/>
      <c r="E49" s="171"/>
      <c r="F49" s="171"/>
      <c r="G49" s="171"/>
      <c r="H49" s="362">
        <f>H48*R20</f>
        <v>131.75</v>
      </c>
      <c r="I49" s="149" t="s">
        <v>17</v>
      </c>
      <c r="J49" s="130"/>
      <c r="K49" s="173" t="s">
        <v>198</v>
      </c>
      <c r="L49" s="171"/>
      <c r="M49" s="171"/>
      <c r="N49" s="171"/>
      <c r="O49" s="171"/>
      <c r="P49" s="171"/>
      <c r="Q49" s="171"/>
      <c r="R49" s="189">
        <f>(H50*R25)*R7</f>
        <v>425.57963024997974</v>
      </c>
      <c r="S49" s="172" t="s">
        <v>447</v>
      </c>
      <c r="T49" s="155"/>
    </row>
    <row r="50" spans="2:20" ht="19.5" thickBot="1" x14ac:dyDescent="0.4">
      <c r="B50" s="138"/>
      <c r="C50" s="173" t="s">
        <v>302</v>
      </c>
      <c r="D50" s="171"/>
      <c r="E50" s="171"/>
      <c r="F50" s="171"/>
      <c r="G50" s="171"/>
      <c r="H50" s="203">
        <f>IF('Input og output'!H23="Masse 1: Elveavsetninger",'Stedlige masser'!J35,IF('Input og output'!H23="Masse 2: Marine strandavsetninger",'Stedlige masser'!J36,(IF('Input og output'!H23="Masse 3: Sandig morene",'Stedlige masser'!J37,IF('Input og output'!H23="Masse 4: Grusig morene",'Stedlige masser'!J38,0)))))</f>
        <v>505.1989912749047</v>
      </c>
      <c r="I50" s="149" t="s">
        <v>464</v>
      </c>
      <c r="J50" s="130"/>
      <c r="K50" s="341" t="s">
        <v>255</v>
      </c>
      <c r="L50" s="363"/>
      <c r="M50" s="363"/>
      <c r="N50" s="363"/>
      <c r="O50" s="363"/>
      <c r="P50" s="363"/>
      <c r="Q50" s="363"/>
      <c r="R50" s="364">
        <f>SUM(R45:R49)</f>
        <v>1064.9026861003094</v>
      </c>
      <c r="S50" s="351" t="s">
        <v>448</v>
      </c>
      <c r="T50" s="155"/>
    </row>
    <row r="51" spans="2:20" ht="18" x14ac:dyDescent="0.35">
      <c r="B51" s="138"/>
      <c r="C51" s="173"/>
      <c r="D51" s="171"/>
      <c r="E51" s="171"/>
      <c r="F51" s="171"/>
      <c r="G51" s="171"/>
      <c r="H51" s="171"/>
      <c r="I51" s="172"/>
      <c r="J51" s="130"/>
      <c r="K51" s="173" t="s">
        <v>411</v>
      </c>
      <c r="L51" s="171"/>
      <c r="M51" s="171"/>
      <c r="N51" s="171"/>
      <c r="O51" s="171"/>
      <c r="P51" s="171"/>
      <c r="Q51" s="171"/>
      <c r="R51" s="189">
        <f>SUM(R45:R47,R49:R49)</f>
        <v>1064.9026861003094</v>
      </c>
      <c r="S51" s="172" t="s">
        <v>447</v>
      </c>
      <c r="T51" s="155"/>
    </row>
    <row r="52" spans="2:20" x14ac:dyDescent="0.25">
      <c r="B52" s="138"/>
      <c r="C52" s="178"/>
      <c r="D52" s="179"/>
      <c r="E52" s="179"/>
      <c r="F52" s="179"/>
      <c r="G52" s="179"/>
      <c r="H52" s="179"/>
      <c r="I52" s="151"/>
      <c r="J52" s="130"/>
      <c r="K52" s="178"/>
      <c r="L52" s="179"/>
      <c r="M52" s="179"/>
      <c r="N52" s="179"/>
      <c r="O52" s="179"/>
      <c r="P52" s="179"/>
      <c r="Q52" s="179"/>
      <c r="R52" s="190"/>
      <c r="S52" s="180"/>
      <c r="T52" s="155"/>
    </row>
    <row r="53" spans="2:20" x14ac:dyDescent="0.25">
      <c r="B53" s="138"/>
      <c r="C53" s="130"/>
      <c r="D53" s="130"/>
      <c r="E53" s="130"/>
      <c r="F53" s="130"/>
      <c r="G53" s="130"/>
      <c r="H53" s="130"/>
      <c r="I53" s="47"/>
      <c r="J53" s="130"/>
      <c r="K53" s="130"/>
      <c r="L53" s="130"/>
      <c r="M53" s="130"/>
      <c r="N53" s="130"/>
      <c r="O53" s="130"/>
      <c r="P53" s="130"/>
      <c r="Q53" s="130"/>
      <c r="R53" s="187"/>
      <c r="S53" s="130"/>
      <c r="T53" s="155"/>
    </row>
    <row r="54" spans="2:20" ht="15.75" thickBot="1" x14ac:dyDescent="0.3">
      <c r="B54" s="138"/>
      <c r="C54" s="139" t="s">
        <v>252</v>
      </c>
      <c r="D54" s="174"/>
      <c r="E54" s="174"/>
      <c r="F54" s="174"/>
      <c r="G54" s="174"/>
      <c r="H54" s="174"/>
      <c r="I54" s="201"/>
      <c r="J54" s="130"/>
      <c r="K54" s="139" t="s">
        <v>299</v>
      </c>
      <c r="L54" s="140"/>
      <c r="M54" s="140"/>
      <c r="N54" s="140"/>
      <c r="O54" s="140"/>
      <c r="P54" s="140"/>
      <c r="Q54" s="140"/>
      <c r="R54" s="294"/>
      <c r="S54" s="141"/>
      <c r="T54" s="155"/>
    </row>
    <row r="55" spans="2:20" ht="17.25" x14ac:dyDescent="0.25">
      <c r="B55" s="138"/>
      <c r="C55" s="173" t="s">
        <v>231</v>
      </c>
      <c r="D55" s="171"/>
      <c r="E55" s="171"/>
      <c r="F55" s="171"/>
      <c r="G55" s="171"/>
      <c r="H55" s="361">
        <f>IF('Input og output'!H13&lt;Grøft!H56,Grøft!J85,Grøft!J92)</f>
        <v>564.93904171115946</v>
      </c>
      <c r="I55" s="149" t="s">
        <v>464</v>
      </c>
      <c r="J55" s="130"/>
      <c r="K55" s="341" t="s">
        <v>323</v>
      </c>
      <c r="L55" s="171"/>
      <c r="M55" s="171"/>
      <c r="N55" s="171"/>
      <c r="O55" s="171"/>
      <c r="P55" s="171"/>
      <c r="Q55" s="171"/>
      <c r="R55" s="171"/>
      <c r="S55" s="172"/>
      <c r="T55" s="155"/>
    </row>
    <row r="56" spans="2:20" ht="18.75" thickBot="1" x14ac:dyDescent="0.4">
      <c r="B56" s="138"/>
      <c r="C56" s="173"/>
      <c r="D56" s="171"/>
      <c r="E56" s="171"/>
      <c r="F56" s="171"/>
      <c r="G56" s="171"/>
      <c r="H56" s="362">
        <f>H55*R20*R22</f>
        <v>875655.51465229713</v>
      </c>
      <c r="I56" s="149" t="s">
        <v>181</v>
      </c>
      <c r="J56" s="130"/>
      <c r="K56" s="173" t="s">
        <v>321</v>
      </c>
      <c r="L56" s="171"/>
      <c r="M56" s="171"/>
      <c r="N56" s="171"/>
      <c r="O56" s="171"/>
      <c r="P56" s="171"/>
      <c r="Q56" s="171"/>
      <c r="R56" s="189">
        <f>H56*R5</f>
        <v>2758.314871154736</v>
      </c>
      <c r="S56" s="172" t="s">
        <v>447</v>
      </c>
      <c r="T56" s="155"/>
    </row>
    <row r="57" spans="2:20" ht="18.75" x14ac:dyDescent="0.35">
      <c r="B57" s="138"/>
      <c r="C57" s="173" t="s">
        <v>219</v>
      </c>
      <c r="D57" s="171"/>
      <c r="E57" s="171"/>
      <c r="F57" s="171"/>
      <c r="G57" s="171"/>
      <c r="H57" s="361">
        <f>IF('Input og output'!H13&lt;Grøft!H56,Grøft!J82,Grøft!J89)</f>
        <v>663.11381213584059</v>
      </c>
      <c r="I57" s="149" t="s">
        <v>464</v>
      </c>
      <c r="J57" s="130"/>
      <c r="K57" s="173" t="s">
        <v>300</v>
      </c>
      <c r="L57" s="171"/>
      <c r="M57" s="171"/>
      <c r="N57" s="171"/>
      <c r="O57" s="171"/>
      <c r="P57" s="171"/>
      <c r="Q57" s="171"/>
      <c r="R57" s="189">
        <f>H58*H13*R9</f>
        <v>560.19982167087755</v>
      </c>
      <c r="S57" s="172" t="s">
        <v>447</v>
      </c>
      <c r="T57" s="155"/>
    </row>
    <row r="58" spans="2:20" ht="18.75" thickBot="1" x14ac:dyDescent="0.4">
      <c r="B58" s="138"/>
      <c r="C58" s="173"/>
      <c r="D58" s="171"/>
      <c r="E58" s="171"/>
      <c r="F58" s="171"/>
      <c r="G58" s="171"/>
      <c r="H58" s="362">
        <f>H57*R18</f>
        <v>1060.9820994173449</v>
      </c>
      <c r="I58" s="149" t="s">
        <v>17</v>
      </c>
      <c r="J58" s="130"/>
      <c r="K58" s="173" t="s">
        <v>301</v>
      </c>
      <c r="L58" s="171"/>
      <c r="M58" s="171"/>
      <c r="N58" s="171"/>
      <c r="O58" s="171"/>
      <c r="P58" s="171"/>
      <c r="Q58" s="171"/>
      <c r="R58" s="189">
        <f>H60*H15*R9</f>
        <v>462.34716252303059</v>
      </c>
      <c r="S58" s="172" t="s">
        <v>447</v>
      </c>
      <c r="T58" s="155"/>
    </row>
    <row r="59" spans="2:20" ht="18.75" x14ac:dyDescent="0.35">
      <c r="B59" s="138"/>
      <c r="C59" s="173" t="s">
        <v>220</v>
      </c>
      <c r="D59" s="171"/>
      <c r="E59" s="171"/>
      <c r="F59" s="171"/>
      <c r="G59" s="171"/>
      <c r="H59" s="361">
        <f>IF('Input og output'!H13&lt;Grøft!H56,Grøft!J85,Grøft!J92)</f>
        <v>564.93904171115946</v>
      </c>
      <c r="I59" s="149" t="s">
        <v>464</v>
      </c>
      <c r="J59" s="130"/>
      <c r="K59" s="173" t="s">
        <v>260</v>
      </c>
      <c r="L59" s="171"/>
      <c r="M59" s="171"/>
      <c r="N59" s="171"/>
      <c r="O59" s="171"/>
      <c r="P59" s="171"/>
      <c r="Q59" s="171"/>
      <c r="R59" s="189">
        <f>H30*R11</f>
        <v>0</v>
      </c>
      <c r="S59" s="172" t="s">
        <v>447</v>
      </c>
      <c r="T59" s="155"/>
    </row>
    <row r="60" spans="2:20" ht="18.75" thickBot="1" x14ac:dyDescent="0.4">
      <c r="B60" s="138"/>
      <c r="C60" s="173"/>
      <c r="D60" s="171"/>
      <c r="E60" s="171"/>
      <c r="F60" s="171"/>
      <c r="G60" s="171"/>
      <c r="H60" s="362">
        <f>H59*R20</f>
        <v>875.65551465229714</v>
      </c>
      <c r="I60" s="149" t="s">
        <v>17</v>
      </c>
      <c r="J60" s="130"/>
      <c r="K60" s="173" t="s">
        <v>198</v>
      </c>
      <c r="L60" s="171"/>
      <c r="M60" s="171"/>
      <c r="N60" s="171"/>
      <c r="O60" s="171"/>
      <c r="P60" s="171"/>
      <c r="Q60" s="171"/>
      <c r="R60" s="189">
        <f>(H61*R25)*R7</f>
        <v>0</v>
      </c>
      <c r="S60" s="172" t="s">
        <v>447</v>
      </c>
      <c r="T60" s="155"/>
    </row>
    <row r="61" spans="2:20" ht="19.5" thickBot="1" x14ac:dyDescent="0.4">
      <c r="B61" s="138"/>
      <c r="C61" s="173" t="s">
        <v>302</v>
      </c>
      <c r="D61" s="171"/>
      <c r="E61" s="171"/>
      <c r="F61" s="171"/>
      <c r="G61" s="171"/>
      <c r="H61" s="203">
        <f>IF('Input og output'!H23="Masse 1: Elveavsetninger",'Stedlige masser'!P35,IF('Input og output'!H23="Masse 2: Marine strandavsetninger",'Stedlige masser'!P36,(IF('Input og output'!H23="Masse 3: Sandig morene",'Stedlige masser'!P37,IF('Input og output'!H23="Masse 4: Grusig morene",'Stedlige masser'!P38,0)))))</f>
        <v>0</v>
      </c>
      <c r="I61" s="149" t="s">
        <v>464</v>
      </c>
      <c r="J61" s="130"/>
      <c r="K61" s="341" t="s">
        <v>255</v>
      </c>
      <c r="L61" s="363"/>
      <c r="M61" s="363"/>
      <c r="N61" s="363"/>
      <c r="O61" s="363"/>
      <c r="P61" s="363"/>
      <c r="Q61" s="363"/>
      <c r="R61" s="364">
        <f>SUM(R56:R60)</f>
        <v>3780.861855348644</v>
      </c>
      <c r="S61" s="351" t="s">
        <v>448</v>
      </c>
      <c r="T61" s="155"/>
    </row>
    <row r="62" spans="2:20" ht="18" x14ac:dyDescent="0.35">
      <c r="B62" s="138"/>
      <c r="C62" s="173"/>
      <c r="D62" s="171"/>
      <c r="E62" s="171"/>
      <c r="F62" s="171"/>
      <c r="G62" s="171"/>
      <c r="H62" s="171"/>
      <c r="I62" s="172"/>
      <c r="J62" s="130"/>
      <c r="K62" s="173" t="s">
        <v>411</v>
      </c>
      <c r="L62" s="171"/>
      <c r="M62" s="171"/>
      <c r="N62" s="171"/>
      <c r="O62" s="171"/>
      <c r="P62" s="171"/>
      <c r="Q62" s="171"/>
      <c r="R62" s="189">
        <f>SUM(R56:R58,R60:R60)</f>
        <v>3780.861855348644</v>
      </c>
      <c r="S62" s="172" t="s">
        <v>447</v>
      </c>
      <c r="T62" s="155"/>
    </row>
    <row r="63" spans="2:20" x14ac:dyDescent="0.25">
      <c r="B63" s="138"/>
      <c r="C63" s="178"/>
      <c r="D63" s="179"/>
      <c r="E63" s="179"/>
      <c r="F63" s="179"/>
      <c r="G63" s="179"/>
      <c r="H63" s="179"/>
      <c r="I63" s="180"/>
      <c r="J63" s="130"/>
      <c r="K63" s="178"/>
      <c r="L63" s="179"/>
      <c r="M63" s="179"/>
      <c r="N63" s="179"/>
      <c r="O63" s="179"/>
      <c r="P63" s="179"/>
      <c r="Q63" s="179"/>
      <c r="R63" s="190"/>
      <c r="S63" s="180"/>
      <c r="T63" s="155"/>
    </row>
    <row r="64" spans="2:20" ht="15.75" thickBot="1" x14ac:dyDescent="0.3">
      <c r="B64" s="164"/>
      <c r="C64" s="166"/>
      <c r="D64" s="166"/>
      <c r="E64" s="166"/>
      <c r="F64" s="166"/>
      <c r="G64" s="166"/>
      <c r="H64" s="166"/>
      <c r="I64" s="166"/>
      <c r="J64" s="166"/>
      <c r="K64" s="166"/>
      <c r="L64" s="166"/>
      <c r="M64" s="166"/>
      <c r="N64" s="166"/>
      <c r="O64" s="166"/>
      <c r="P64" s="166"/>
      <c r="Q64" s="166"/>
      <c r="R64" s="191"/>
      <c r="S64" s="166"/>
      <c r="T64" s="167"/>
    </row>
  </sheetData>
  <phoneticPr fontId="13" type="noConversion"/>
  <pageMargins left="0.7" right="0.7" top="0.75" bottom="0.75" header="0.3" footer="0.3"/>
  <pageSetup paperSize="9" orientation="portrait" verticalDpi="0" r:id="rId1"/>
</worksheet>
</file>

<file path=docMetadata/LabelInfo.xml><?xml version="1.0" encoding="utf-8"?>
<clbl:labelList xmlns:clbl="http://schemas.microsoft.com/office/2020/mipLabelMetadata">
  <clbl:label id="{90754b47-c413-4aa1-bfc3-c33089241f4f}" enabled="1" method="Standard" siteId="{e339bd4b-2e3b-4035-a452-2112d502f2f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7</vt:i4>
      </vt:variant>
      <vt:variant>
        <vt:lpstr>Navngitte områder</vt:lpstr>
      </vt:variant>
      <vt:variant>
        <vt:i4>1</vt:i4>
      </vt:variant>
    </vt:vector>
  </HeadingPairs>
  <TitlesOfParts>
    <vt:vector size="8" baseType="lpstr">
      <vt:lpstr>Introduksjon</vt:lpstr>
      <vt:lpstr>Bakgrunn</vt:lpstr>
      <vt:lpstr>Input og output</vt:lpstr>
      <vt:lpstr>Grøft</vt:lpstr>
      <vt:lpstr>Stedlige masser</vt:lpstr>
      <vt:lpstr>Kostnader</vt:lpstr>
      <vt:lpstr>Klimagassberegninger</vt:lpstr>
      <vt:lpstr>'Input og output'!Utskriftsområde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Sigrid Bergseng Lakså</dc:creator>
  <cp:lastModifiedBy>Killerud, Håkon - SG PAM</cp:lastModifiedBy>
  <cp:lastPrinted>2022-03-22T06:27:48Z</cp:lastPrinted>
  <dcterms:created xsi:type="dcterms:W3CDTF">2022-01-06T12:40:54Z</dcterms:created>
  <dcterms:modified xsi:type="dcterms:W3CDTF">2026-05-11T18:22:49Z</dcterms:modified>
</cp:coreProperties>
</file>